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3, 2024, 2025\Фінплан 2023\Фінплан 2023 змінений 1\"/>
    </mc:Choice>
  </mc:AlternateContent>
  <workbookProtection workbookAlgorithmName="SHA-512" workbookHashValue="rsIGKd0btKQSViwiGBu+6CU4nGczxtfaeCp6OBLiY542tVz4zaTJVa7vhWbq8Ozqa8au118z4GpmQFxRvO/zCQ==" workbookSaltValue="UPkUWGe2/ib6sN6bhjsKFQ==" workbookSpinCount="100000" lockStructure="1"/>
  <bookViews>
    <workbookView xWindow="-120" yWindow="-120" windowWidth="15480" windowHeight="6792" tabRatio="838" firstSheet="6" activeTab="13"/>
  </bookViews>
  <sheets>
    <sheet name="Осн. фін. пок." sheetId="14" r:id="rId1"/>
    <sheet name="I. Фін результат" sheetId="20" r:id="rId2"/>
    <sheet name="Розшифровка до Формування" sheetId="22" r:id="rId3"/>
    <sheet name="ІІ. Розр. з бюджетом" sheetId="19" r:id="rId4"/>
    <sheet name="ІІІ. Рух грош. коштів" sheetId="18" r:id="rId5"/>
    <sheet name="Розшифровка до Руху" sheetId="23" r:id="rId6"/>
    <sheet name="IV. Кап. інвестиції" sheetId="3" r:id="rId7"/>
    <sheet name="Розшифровка кап" sheetId="24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  <sheet name="Розшифровка статутний" sheetId="25" r:id="rId13"/>
    <sheet name="кредити" sheetId="2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пок.'!$47:$49</definedName>
    <definedName name="_xlnm.Print_Titles" localSheetId="5">'Розшифровка до Руху'!$3:$5</definedName>
    <definedName name="_xlnm.Print_Titles" localSheetId="2">'Розшифровка до Формування'!$4:$6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Коефіцієнти'!$A$1:$H$27</definedName>
    <definedName name="_xlnm.Print_Area" localSheetId="9">'6.1. Інша інфо_1'!$A$1:$O$71</definedName>
    <definedName name="_xlnm.Print_Area" localSheetId="10">'6.2. Інша інфо_2'!$A$1:$AE$45</definedName>
    <definedName name="_xlnm.Print_Area" localSheetId="1">'I. Фін результат'!$A$1:$K$99</definedName>
    <definedName name="_xlnm.Print_Area" localSheetId="6">'IV. Кап. інвестиції'!$A$1:$J$18</definedName>
    <definedName name="_xlnm.Print_Area" localSheetId="11">'VII Статутн капіт'!$A$1:$J$15</definedName>
    <definedName name="_xlnm.Print_Area" localSheetId="3">'ІІ. Розр. з бюджетом'!$A$1:$J$47</definedName>
    <definedName name="_xlnm.Print_Area" localSheetId="4">'ІІІ. Рух грош. коштів'!$A$1:$J$71</definedName>
    <definedName name="_xlnm.Print_Area" localSheetId="0">'Осн. фін. пок.'!$A$1:$I$134</definedName>
    <definedName name="_xlnm.Print_Area" localSheetId="5">'Розшифровка до Руху'!$A$1:$J$70</definedName>
    <definedName name="_xlnm.Print_Area" localSheetId="2">'Розшифровка до Формування'!$A$1:$J$90</definedName>
    <definedName name="_xlnm.Print_Area" localSheetId="7">'Розшифровка кап'!$A$1:$J$35</definedName>
    <definedName name="_xlnm.Print_Area" localSheetId="12">'Розшифровка статутний'!$A$1:$J$23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 fullPrecision="0"/>
</workbook>
</file>

<file path=xl/calcChain.xml><?xml version="1.0" encoding="utf-8"?>
<calcChain xmlns="http://schemas.openxmlformats.org/spreadsheetml/2006/main">
  <c r="AC29" i="9" l="1"/>
  <c r="AD29" i="9"/>
  <c r="AD28" i="9" s="1"/>
  <c r="AE29" i="9"/>
  <c r="AB29" i="9"/>
  <c r="M28" i="9"/>
  <c r="N28" i="9"/>
  <c r="O28" i="9"/>
  <c r="P28" i="9"/>
  <c r="R28" i="9"/>
  <c r="S28" i="9"/>
  <c r="T28" i="9"/>
  <c r="U28" i="9"/>
  <c r="Q28" i="9" s="1"/>
  <c r="W28" i="9"/>
  <c r="X28" i="9"/>
  <c r="Y28" i="9"/>
  <c r="Z28" i="9"/>
  <c r="AB28" i="9"/>
  <c r="AC28" i="9"/>
  <c r="AE28" i="9"/>
  <c r="K28" i="9"/>
  <c r="J28" i="9"/>
  <c r="I28" i="9"/>
  <c r="H28" i="9"/>
  <c r="G27" i="9"/>
  <c r="G29" i="9"/>
  <c r="H26" i="9"/>
  <c r="I26" i="9"/>
  <c r="I30" i="9" s="1"/>
  <c r="J26" i="9"/>
  <c r="J30" i="9" s="1"/>
  <c r="K26" i="9"/>
  <c r="K30" i="9" s="1"/>
  <c r="R26" i="9"/>
  <c r="R30" i="9" s="1"/>
  <c r="S26" i="9"/>
  <c r="S30" i="9" s="1"/>
  <c r="T26" i="9"/>
  <c r="T30" i="9" s="1"/>
  <c r="U26" i="9"/>
  <c r="U30" i="9" s="1"/>
  <c r="W26" i="9"/>
  <c r="W30" i="9" s="1"/>
  <c r="V30" i="9" s="1"/>
  <c r="X26" i="9"/>
  <c r="X30" i="9" s="1"/>
  <c r="Y26" i="9"/>
  <c r="Y30" i="9" s="1"/>
  <c r="Z26" i="9"/>
  <c r="Z30" i="9" s="1"/>
  <c r="L29" i="9"/>
  <c r="N27" i="9"/>
  <c r="N26" i="9" s="1"/>
  <c r="N30" i="9" s="1"/>
  <c r="O27" i="9"/>
  <c r="O26" i="9" s="1"/>
  <c r="O30" i="9" s="1"/>
  <c r="P27" i="9"/>
  <c r="P26" i="9" s="1"/>
  <c r="P30" i="9" s="1"/>
  <c r="M27" i="9"/>
  <c r="AB27" i="9" s="1"/>
  <c r="AB26" i="9" s="1"/>
  <c r="AB30" i="9" s="1"/>
  <c r="J16" i="20"/>
  <c r="I16" i="20"/>
  <c r="Q30" i="9" l="1"/>
  <c r="G28" i="9"/>
  <c r="AC27" i="9"/>
  <c r="AC26" i="9" s="1"/>
  <c r="AC30" i="9" s="1"/>
  <c r="AA30" i="9" s="1"/>
  <c r="G26" i="9"/>
  <c r="AD27" i="9"/>
  <c r="AD26" i="9" s="1"/>
  <c r="AD30" i="9" s="1"/>
  <c r="V28" i="9"/>
  <c r="L28" i="9"/>
  <c r="AE27" i="9"/>
  <c r="AE26" i="9" s="1"/>
  <c r="AE30" i="9" s="1"/>
  <c r="H30" i="9"/>
  <c r="AA28" i="9"/>
  <c r="L27" i="9"/>
  <c r="M26" i="9"/>
  <c r="V26" i="9"/>
  <c r="Q26" i="9"/>
  <c r="AA26" i="9" l="1"/>
  <c r="L26" i="9"/>
  <c r="M30" i="9"/>
  <c r="F9" i="25"/>
  <c r="F10" i="25"/>
  <c r="F11" i="25"/>
  <c r="F12" i="25"/>
  <c r="F13" i="25"/>
  <c r="F23" i="10" l="1"/>
  <c r="J23" i="10"/>
  <c r="F24" i="10"/>
  <c r="J24" i="10"/>
  <c r="F25" i="10"/>
  <c r="H25" i="10"/>
  <c r="J25" i="10"/>
  <c r="G44" i="10"/>
  <c r="M44" i="10"/>
  <c r="C35" i="10" s="1"/>
  <c r="D44" i="10"/>
  <c r="B35" i="10" s="1"/>
  <c r="B37" i="10"/>
  <c r="B38" i="10"/>
  <c r="B39" i="10"/>
  <c r="B42" i="10"/>
  <c r="B43" i="10"/>
  <c r="B33" i="10"/>
  <c r="K55" i="10"/>
  <c r="M69" i="10"/>
  <c r="M70" i="10"/>
  <c r="E86" i="14"/>
  <c r="D81" i="14"/>
  <c r="D82" i="14"/>
  <c r="D86" i="14"/>
  <c r="D12" i="3"/>
  <c r="E12" i="3"/>
  <c r="F11" i="3"/>
  <c r="F13" i="3"/>
  <c r="F8" i="3"/>
  <c r="H10" i="3"/>
  <c r="G10" i="3"/>
  <c r="C10" i="3"/>
  <c r="F9" i="24"/>
  <c r="F13" i="24"/>
  <c r="F14" i="24"/>
  <c r="F15" i="24"/>
  <c r="F16" i="24"/>
  <c r="F17" i="24"/>
  <c r="F18" i="24"/>
  <c r="F19" i="24"/>
  <c r="F21" i="24"/>
  <c r="F22" i="24"/>
  <c r="F23" i="24"/>
  <c r="F24" i="24"/>
  <c r="F25" i="24"/>
  <c r="F27" i="24"/>
  <c r="F28" i="24"/>
  <c r="F12" i="24"/>
  <c r="J26" i="24"/>
  <c r="J12" i="3" s="1"/>
  <c r="I26" i="24"/>
  <c r="I12" i="3" s="1"/>
  <c r="H26" i="24"/>
  <c r="H12" i="3" s="1"/>
  <c r="G26" i="24"/>
  <c r="G12" i="3" s="1"/>
  <c r="J20" i="24"/>
  <c r="J10" i="3" s="1"/>
  <c r="I20" i="24"/>
  <c r="I10" i="3" s="1"/>
  <c r="H20" i="24"/>
  <c r="G20" i="24"/>
  <c r="F20" i="24" s="1"/>
  <c r="D10" i="24"/>
  <c r="D9" i="3" s="1"/>
  <c r="C10" i="24"/>
  <c r="C9" i="3" s="1"/>
  <c r="D26" i="24"/>
  <c r="E26" i="24"/>
  <c r="D20" i="24"/>
  <c r="D10" i="3" s="1"/>
  <c r="C20" i="24"/>
  <c r="C26" i="24"/>
  <c r="C12" i="3" s="1"/>
  <c r="H23" i="18"/>
  <c r="I23" i="18"/>
  <c r="J23" i="18"/>
  <c r="H9" i="18"/>
  <c r="I9" i="18"/>
  <c r="J9" i="18"/>
  <c r="G9" i="18"/>
  <c r="D58" i="18"/>
  <c r="D54" i="18"/>
  <c r="E54" i="18"/>
  <c r="D21" i="18"/>
  <c r="D18" i="18" s="1"/>
  <c r="C21" i="18"/>
  <c r="H47" i="18"/>
  <c r="J48" i="23"/>
  <c r="J47" i="18" s="1"/>
  <c r="I48" i="23"/>
  <c r="I47" i="18" s="1"/>
  <c r="H48" i="23"/>
  <c r="G48" i="23"/>
  <c r="G47" i="18" s="1"/>
  <c r="J30" i="23"/>
  <c r="J46" i="18" s="1"/>
  <c r="I30" i="23"/>
  <c r="I46" i="18" s="1"/>
  <c r="H30" i="23"/>
  <c r="H46" i="18" s="1"/>
  <c r="G30" i="23"/>
  <c r="D53" i="23"/>
  <c r="D49" i="18" s="1"/>
  <c r="E53" i="23"/>
  <c r="E49" i="18" s="1"/>
  <c r="C53" i="23"/>
  <c r="C49" i="18" s="1"/>
  <c r="C48" i="23"/>
  <c r="C47" i="18" s="1"/>
  <c r="D30" i="23"/>
  <c r="D46" i="18" s="1"/>
  <c r="C30" i="23"/>
  <c r="C46" i="18" s="1"/>
  <c r="F11" i="23"/>
  <c r="F12" i="23"/>
  <c r="F13" i="23"/>
  <c r="F14" i="23"/>
  <c r="J10" i="23"/>
  <c r="J17" i="18" s="1"/>
  <c r="I10" i="23"/>
  <c r="I17" i="18" s="1"/>
  <c r="H10" i="23"/>
  <c r="H17" i="18" s="1"/>
  <c r="G10" i="23"/>
  <c r="G17" i="18" s="1"/>
  <c r="D10" i="23"/>
  <c r="D17" i="18" s="1"/>
  <c r="D8" i="18" s="1"/>
  <c r="C39" i="19"/>
  <c r="D39" i="19"/>
  <c r="H39" i="19"/>
  <c r="I31" i="18" s="1"/>
  <c r="I39" i="19"/>
  <c r="J31" i="18" s="1"/>
  <c r="J39" i="19"/>
  <c r="D38" i="19"/>
  <c r="C33" i="19"/>
  <c r="C31" i="19"/>
  <c r="D31" i="19"/>
  <c r="D28" i="19"/>
  <c r="F20" i="19"/>
  <c r="D19" i="19"/>
  <c r="G90" i="20"/>
  <c r="F15" i="20"/>
  <c r="F16" i="20"/>
  <c r="F10" i="20"/>
  <c r="F11" i="20"/>
  <c r="F12" i="20"/>
  <c r="F13" i="20"/>
  <c r="H14" i="20"/>
  <c r="I14" i="20"/>
  <c r="J14" i="20"/>
  <c r="G14" i="20"/>
  <c r="F24" i="20"/>
  <c r="J26" i="20"/>
  <c r="I26" i="20"/>
  <c r="H26" i="20"/>
  <c r="G26" i="20"/>
  <c r="F26" i="20" s="1"/>
  <c r="F12" i="3" l="1"/>
  <c r="D34" i="18"/>
  <c r="D83" i="14" s="1"/>
  <c r="D7" i="3"/>
  <c r="D89" i="14" s="1"/>
  <c r="F26" i="24"/>
  <c r="B41" i="10"/>
  <c r="B34" i="10"/>
  <c r="C34" i="10"/>
  <c r="C44" i="18"/>
  <c r="G46" i="18"/>
  <c r="C43" i="10"/>
  <c r="C42" i="10"/>
  <c r="C39" i="10"/>
  <c r="C38" i="10"/>
  <c r="C41" i="10"/>
  <c r="C37" i="10"/>
  <c r="C33" i="10"/>
  <c r="C40" i="10"/>
  <c r="C36" i="10"/>
  <c r="B40" i="10"/>
  <c r="B36" i="10"/>
  <c r="D36" i="19"/>
  <c r="J83" i="22" l="1"/>
  <c r="J69" i="20" s="1"/>
  <c r="J67" i="20" s="1"/>
  <c r="I83" i="22"/>
  <c r="I69" i="20" s="1"/>
  <c r="I67" i="20" s="1"/>
  <c r="H83" i="22"/>
  <c r="H69" i="20" s="1"/>
  <c r="H67" i="20" s="1"/>
  <c r="G83" i="22"/>
  <c r="G69" i="20" s="1"/>
  <c r="G67" i="20" s="1"/>
  <c r="D83" i="22"/>
  <c r="D69" i="20" s="1"/>
  <c r="E83" i="22"/>
  <c r="E69" i="20" s="1"/>
  <c r="D61" i="22"/>
  <c r="D51" i="20" s="1"/>
  <c r="E61" i="22"/>
  <c r="E51" i="20" s="1"/>
  <c r="D67" i="20"/>
  <c r="D48" i="20"/>
  <c r="D39" i="20" l="1"/>
  <c r="D19" i="20" s="1"/>
  <c r="C46" i="22"/>
  <c r="C39" i="20" s="1"/>
  <c r="C19" i="20" s="1"/>
  <c r="D46" i="22"/>
  <c r="C7" i="22"/>
  <c r="C17" i="20" s="1"/>
  <c r="C9" i="20" s="1"/>
  <c r="D7" i="22"/>
  <c r="D17" i="20" s="1"/>
  <c r="J67" i="10" l="1"/>
  <c r="D68" i="10"/>
  <c r="D67" i="10" l="1"/>
  <c r="M67" i="10" s="1"/>
  <c r="M68" i="10"/>
  <c r="F29" i="24"/>
  <c r="G91" i="20" l="1"/>
  <c r="G29" i="19" l="1"/>
  <c r="G25" i="19"/>
  <c r="G19" i="19" s="1"/>
  <c r="H71" i="22"/>
  <c r="H58" i="20" s="1"/>
  <c r="H52" i="20" s="1"/>
  <c r="I71" i="22"/>
  <c r="I58" i="20" s="1"/>
  <c r="I52" i="20" s="1"/>
  <c r="J71" i="22"/>
  <c r="J58" i="20" s="1"/>
  <c r="J52" i="20" s="1"/>
  <c r="G71" i="22"/>
  <c r="G58" i="20" s="1"/>
  <c r="G52" i="20" s="1"/>
  <c r="F78" i="22"/>
  <c r="W18" i="9" l="1"/>
  <c r="T18" i="9"/>
  <c r="Q18" i="9"/>
  <c r="C83" i="20" l="1"/>
  <c r="C74" i="14"/>
  <c r="E119" i="14" l="1"/>
  <c r="C124" i="14"/>
  <c r="C125" i="14"/>
  <c r="C103" i="14"/>
  <c r="C98" i="14"/>
  <c r="J61" i="10" l="1"/>
  <c r="G39" i="19" l="1"/>
  <c r="H31" i="19"/>
  <c r="H26" i="18" s="1"/>
  <c r="I31" i="19"/>
  <c r="I26" i="18" s="1"/>
  <c r="J31" i="19"/>
  <c r="J26" i="18" s="1"/>
  <c r="G31" i="19"/>
  <c r="H90" i="20"/>
  <c r="I90" i="20"/>
  <c r="J90" i="20"/>
  <c r="E31" i="23" l="1"/>
  <c r="D83" i="20"/>
  <c r="F52" i="23" l="1"/>
  <c r="F50" i="23"/>
  <c r="C20" i="18"/>
  <c r="C18" i="18" s="1"/>
  <c r="J64" i="20"/>
  <c r="AE128" i="26" l="1"/>
  <c r="AK128" i="26" s="1"/>
  <c r="H64" i="14" s="1"/>
  <c r="AD128" i="26"/>
  <c r="AJ128" i="26" s="1"/>
  <c r="AC127" i="26"/>
  <c r="AC126" i="26"/>
  <c r="AC125" i="26"/>
  <c r="AE123" i="26"/>
  <c r="AK123" i="26" s="1"/>
  <c r="AD123" i="26"/>
  <c r="AJ123" i="26" s="1"/>
  <c r="AC122" i="26"/>
  <c r="AC121" i="26"/>
  <c r="AC120" i="26"/>
  <c r="AE119" i="26"/>
  <c r="AD119" i="26"/>
  <c r="AB119" i="26"/>
  <c r="AA119" i="26"/>
  <c r="Z119" i="26"/>
  <c r="Y119" i="26"/>
  <c r="X119" i="26"/>
  <c r="W119" i="26"/>
  <c r="U119" i="26"/>
  <c r="T119" i="26"/>
  <c r="AC118" i="26"/>
  <c r="V118" i="26"/>
  <c r="AC117" i="26"/>
  <c r="V117" i="26"/>
  <c r="AC116" i="26"/>
  <c r="V116" i="26"/>
  <c r="AE115" i="26"/>
  <c r="AD115" i="26"/>
  <c r="AB115" i="26"/>
  <c r="AA115" i="26"/>
  <c r="Z115" i="26"/>
  <c r="Y115" i="26"/>
  <c r="X115" i="26"/>
  <c r="W115" i="26"/>
  <c r="U115" i="26"/>
  <c r="T115" i="26"/>
  <c r="S115" i="26"/>
  <c r="R115" i="26"/>
  <c r="Q115" i="26"/>
  <c r="O115" i="26"/>
  <c r="N115" i="26"/>
  <c r="AC114" i="26"/>
  <c r="V114" i="26"/>
  <c r="AC113" i="26"/>
  <c r="V113" i="26"/>
  <c r="P113" i="26"/>
  <c r="AC112" i="26"/>
  <c r="V112" i="26"/>
  <c r="P112" i="26"/>
  <c r="AE111" i="26"/>
  <c r="AD111" i="26"/>
  <c r="AB111" i="26"/>
  <c r="AA111" i="26"/>
  <c r="Z111" i="26"/>
  <c r="Y111" i="26"/>
  <c r="X111" i="26"/>
  <c r="W111" i="26"/>
  <c r="U111" i="26"/>
  <c r="T111" i="26"/>
  <c r="S111" i="26"/>
  <c r="R111" i="26"/>
  <c r="Q111" i="26"/>
  <c r="O111" i="26"/>
  <c r="N111" i="26"/>
  <c r="AC110" i="26"/>
  <c r="V110" i="26"/>
  <c r="P110" i="26"/>
  <c r="AC109" i="26"/>
  <c r="V109" i="26"/>
  <c r="P109" i="26"/>
  <c r="AC108" i="26"/>
  <c r="V108" i="26"/>
  <c r="P108" i="26"/>
  <c r="AH106" i="26"/>
  <c r="AG106" i="26"/>
  <c r="AF106" i="26"/>
  <c r="AE106" i="26"/>
  <c r="AD106" i="26"/>
  <c r="AB106" i="26"/>
  <c r="AA106" i="26"/>
  <c r="Z106" i="26"/>
  <c r="Y106" i="26"/>
  <c r="X106" i="26"/>
  <c r="W106" i="26"/>
  <c r="U106" i="26"/>
  <c r="T106" i="26"/>
  <c r="S106" i="26"/>
  <c r="R106" i="26"/>
  <c r="Q106" i="26"/>
  <c r="O106" i="26"/>
  <c r="N106" i="26"/>
  <c r="M106" i="26"/>
  <c r="L106" i="26"/>
  <c r="K106" i="26"/>
  <c r="I106" i="26"/>
  <c r="H106" i="26"/>
  <c r="F106" i="26"/>
  <c r="E106" i="26"/>
  <c r="AC105" i="26"/>
  <c r="V105" i="26"/>
  <c r="P105" i="26"/>
  <c r="J105" i="26"/>
  <c r="G105" i="26"/>
  <c r="AC104" i="26"/>
  <c r="V104" i="26"/>
  <c r="P104" i="26"/>
  <c r="J104" i="26"/>
  <c r="G104" i="26"/>
  <c r="AC103" i="26"/>
  <c r="V103" i="26"/>
  <c r="P103" i="26"/>
  <c r="J103" i="26"/>
  <c r="G103" i="26"/>
  <c r="AH102" i="26"/>
  <c r="AG102" i="26"/>
  <c r="AF102" i="26"/>
  <c r="AE102" i="26"/>
  <c r="AD102" i="26"/>
  <c r="AB102" i="26"/>
  <c r="AA102" i="26"/>
  <c r="Z102" i="26"/>
  <c r="Y102" i="26"/>
  <c r="X102" i="26"/>
  <c r="W102" i="26"/>
  <c r="U102" i="26"/>
  <c r="T102" i="26"/>
  <c r="S102" i="26"/>
  <c r="R102" i="26"/>
  <c r="Q102" i="26"/>
  <c r="O102" i="26"/>
  <c r="N102" i="26"/>
  <c r="M102" i="26"/>
  <c r="L102" i="26"/>
  <c r="K102" i="26"/>
  <c r="I102" i="26"/>
  <c r="H102" i="26"/>
  <c r="F102" i="26"/>
  <c r="E102" i="26"/>
  <c r="AC101" i="26"/>
  <c r="V101" i="26"/>
  <c r="P101" i="26"/>
  <c r="J101" i="26"/>
  <c r="G101" i="26"/>
  <c r="AC100" i="26"/>
  <c r="V100" i="26"/>
  <c r="P100" i="26"/>
  <c r="J100" i="26"/>
  <c r="G100" i="26"/>
  <c r="AC99" i="26"/>
  <c r="V99" i="26"/>
  <c r="P99" i="26"/>
  <c r="J99" i="26"/>
  <c r="G99" i="26"/>
  <c r="AH98" i="26"/>
  <c r="AG98" i="26"/>
  <c r="AF98" i="26"/>
  <c r="AE98" i="26"/>
  <c r="AD98" i="26"/>
  <c r="AB98" i="26"/>
  <c r="AA98" i="26"/>
  <c r="Z98" i="26"/>
  <c r="Y98" i="26"/>
  <c r="X98" i="26"/>
  <c r="W98" i="26"/>
  <c r="U98" i="26"/>
  <c r="T98" i="26"/>
  <c r="S98" i="26"/>
  <c r="R98" i="26"/>
  <c r="Q98" i="26"/>
  <c r="O98" i="26"/>
  <c r="N98" i="26"/>
  <c r="M98" i="26"/>
  <c r="L98" i="26"/>
  <c r="K98" i="26"/>
  <c r="I98" i="26"/>
  <c r="H98" i="26"/>
  <c r="F98" i="26"/>
  <c r="E98" i="26"/>
  <c r="AC97" i="26"/>
  <c r="V97" i="26"/>
  <c r="P97" i="26"/>
  <c r="J97" i="26"/>
  <c r="G97" i="26"/>
  <c r="AC96" i="26"/>
  <c r="V96" i="26"/>
  <c r="P96" i="26"/>
  <c r="J96" i="26"/>
  <c r="G96" i="26"/>
  <c r="AC95" i="26"/>
  <c r="V95" i="26"/>
  <c r="P95" i="26"/>
  <c r="J95" i="26"/>
  <c r="G95" i="26"/>
  <c r="AH94" i="26"/>
  <c r="AH107" i="26" s="1"/>
  <c r="AG94" i="26"/>
  <c r="AG107" i="26" s="1"/>
  <c r="AF94" i="26"/>
  <c r="AF107" i="26" s="1"/>
  <c r="AE94" i="26"/>
  <c r="AE107" i="26" s="1"/>
  <c r="AD94" i="26"/>
  <c r="AD107" i="26" s="1"/>
  <c r="AB94" i="26"/>
  <c r="AB107" i="26" s="1"/>
  <c r="AA94" i="26"/>
  <c r="AA107" i="26" s="1"/>
  <c r="Z94" i="26"/>
  <c r="Z107" i="26" s="1"/>
  <c r="Y94" i="26"/>
  <c r="Y107" i="26" s="1"/>
  <c r="X94" i="26"/>
  <c r="X107" i="26" s="1"/>
  <c r="W94" i="26"/>
  <c r="W107" i="26" s="1"/>
  <c r="U94" i="26"/>
  <c r="T94" i="26"/>
  <c r="T107" i="26" s="1"/>
  <c r="S94" i="26"/>
  <c r="S107" i="26" s="1"/>
  <c r="R94" i="26"/>
  <c r="R107" i="26" s="1"/>
  <c r="Q94" i="26"/>
  <c r="O94" i="26"/>
  <c r="O107" i="26" s="1"/>
  <c r="N94" i="26"/>
  <c r="N107" i="26" s="1"/>
  <c r="M94" i="26"/>
  <c r="L94" i="26"/>
  <c r="L107" i="26" s="1"/>
  <c r="K94" i="26"/>
  <c r="K107" i="26" s="1"/>
  <c r="I94" i="26"/>
  <c r="I107" i="26" s="1"/>
  <c r="H94" i="26"/>
  <c r="F94" i="26"/>
  <c r="F107" i="26" s="1"/>
  <c r="E94" i="26"/>
  <c r="E107" i="26" s="1"/>
  <c r="AC93" i="26"/>
  <c r="V93" i="26"/>
  <c r="P93" i="26"/>
  <c r="J93" i="26"/>
  <c r="G93" i="26"/>
  <c r="AC92" i="26"/>
  <c r="V92" i="26"/>
  <c r="P92" i="26"/>
  <c r="J92" i="26"/>
  <c r="G92" i="26"/>
  <c r="AC91" i="26"/>
  <c r="V91" i="26"/>
  <c r="P91" i="26"/>
  <c r="J91" i="26"/>
  <c r="G91" i="26"/>
  <c r="AH89" i="26"/>
  <c r="AG89" i="26"/>
  <c r="AF89" i="26"/>
  <c r="AE89" i="26"/>
  <c r="AD89" i="26"/>
  <c r="AB89" i="26"/>
  <c r="AA89" i="26"/>
  <c r="Z89" i="26"/>
  <c r="Y89" i="26"/>
  <c r="X89" i="26"/>
  <c r="W89" i="26"/>
  <c r="U89" i="26"/>
  <c r="T89" i="26"/>
  <c r="S89" i="26"/>
  <c r="R89" i="26"/>
  <c r="Q89" i="26"/>
  <c r="O89" i="26"/>
  <c r="N89" i="26"/>
  <c r="M89" i="26"/>
  <c r="L89" i="26"/>
  <c r="K89" i="26"/>
  <c r="I89" i="26"/>
  <c r="H89" i="26"/>
  <c r="F89" i="26"/>
  <c r="E89" i="26"/>
  <c r="AC88" i="26"/>
  <c r="V88" i="26"/>
  <c r="P88" i="26"/>
  <c r="J88" i="26"/>
  <c r="G88" i="26"/>
  <c r="AC87" i="26"/>
  <c r="V87" i="26"/>
  <c r="P87" i="26"/>
  <c r="J87" i="26"/>
  <c r="G87" i="26"/>
  <c r="AC86" i="26"/>
  <c r="V86" i="26"/>
  <c r="P86" i="26"/>
  <c r="J86" i="26"/>
  <c r="G86" i="26"/>
  <c r="AH85" i="26"/>
  <c r="AG85" i="26"/>
  <c r="AF85" i="26"/>
  <c r="AE85" i="26"/>
  <c r="AD85" i="26"/>
  <c r="AB85" i="26"/>
  <c r="AA85" i="26"/>
  <c r="Z85" i="26"/>
  <c r="Y85" i="26"/>
  <c r="X85" i="26"/>
  <c r="W85" i="26"/>
  <c r="U85" i="26"/>
  <c r="T85" i="26"/>
  <c r="S85" i="26"/>
  <c r="R85" i="26"/>
  <c r="Q85" i="26"/>
  <c r="O85" i="26"/>
  <c r="N85" i="26"/>
  <c r="M85" i="26"/>
  <c r="L85" i="26"/>
  <c r="K85" i="26"/>
  <c r="I85" i="26"/>
  <c r="H85" i="26"/>
  <c r="F85" i="26"/>
  <c r="E85" i="26"/>
  <c r="C85" i="26"/>
  <c r="B85" i="26"/>
  <c r="AC84" i="26"/>
  <c r="V84" i="26"/>
  <c r="P84" i="26"/>
  <c r="J84" i="26"/>
  <c r="G84" i="26"/>
  <c r="AC83" i="26"/>
  <c r="V83" i="26"/>
  <c r="P83" i="26"/>
  <c r="J83" i="26"/>
  <c r="G83" i="26"/>
  <c r="D83" i="26"/>
  <c r="AC82" i="26"/>
  <c r="V82" i="26"/>
  <c r="P82" i="26"/>
  <c r="J82" i="26"/>
  <c r="G82" i="26"/>
  <c r="D82" i="26"/>
  <c r="AH81" i="26"/>
  <c r="AG81" i="26"/>
  <c r="AF81" i="26"/>
  <c r="AE81" i="26"/>
  <c r="AD81" i="26"/>
  <c r="AB81" i="26"/>
  <c r="AA81" i="26"/>
  <c r="Z81" i="26"/>
  <c r="Y81" i="26"/>
  <c r="X81" i="26"/>
  <c r="W81" i="26"/>
  <c r="U81" i="26"/>
  <c r="T81" i="26"/>
  <c r="S81" i="26"/>
  <c r="R81" i="26"/>
  <c r="Q81" i="26"/>
  <c r="O81" i="26"/>
  <c r="N81" i="26"/>
  <c r="M81" i="26"/>
  <c r="L81" i="26"/>
  <c r="K81" i="26"/>
  <c r="I81" i="26"/>
  <c r="H81" i="26"/>
  <c r="F81" i="26"/>
  <c r="E81" i="26"/>
  <c r="C81" i="26"/>
  <c r="B81" i="26"/>
  <c r="AC80" i="26"/>
  <c r="V80" i="26"/>
  <c r="P80" i="26"/>
  <c r="J80" i="26"/>
  <c r="G80" i="26"/>
  <c r="D80" i="26"/>
  <c r="AC79" i="26"/>
  <c r="V79" i="26"/>
  <c r="P79" i="26"/>
  <c r="J79" i="26"/>
  <c r="G79" i="26"/>
  <c r="D79" i="26"/>
  <c r="AC78" i="26"/>
  <c r="V78" i="26"/>
  <c r="P78" i="26"/>
  <c r="J78" i="26"/>
  <c r="G78" i="26"/>
  <c r="D78" i="26"/>
  <c r="AG77" i="26"/>
  <c r="AF77" i="26"/>
  <c r="AE77" i="26"/>
  <c r="AD77" i="26"/>
  <c r="AB77" i="26"/>
  <c r="AA77" i="26"/>
  <c r="AA90" i="26" s="1"/>
  <c r="Z77" i="26"/>
  <c r="Z90" i="26" s="1"/>
  <c r="Y77" i="26"/>
  <c r="X77" i="26"/>
  <c r="W77" i="26"/>
  <c r="W90" i="26" s="1"/>
  <c r="U77" i="26"/>
  <c r="T77" i="26"/>
  <c r="S77" i="26"/>
  <c r="S90" i="26" s="1"/>
  <c r="R77" i="26"/>
  <c r="R90" i="26" s="1"/>
  <c r="Q77" i="26"/>
  <c r="O77" i="26"/>
  <c r="N77" i="26"/>
  <c r="N90" i="26" s="1"/>
  <c r="M77" i="26"/>
  <c r="L77" i="26"/>
  <c r="K77" i="26"/>
  <c r="I77" i="26"/>
  <c r="H77" i="26"/>
  <c r="F77" i="26"/>
  <c r="E77" i="26"/>
  <c r="C77" i="26"/>
  <c r="B77" i="26"/>
  <c r="AH76" i="26"/>
  <c r="AC76" i="26"/>
  <c r="V76" i="26"/>
  <c r="P76" i="26"/>
  <c r="J76" i="26"/>
  <c r="G76" i="26"/>
  <c r="D76" i="26"/>
  <c r="AH75" i="26"/>
  <c r="AC75" i="26"/>
  <c r="V75" i="26"/>
  <c r="P75" i="26"/>
  <c r="J75" i="26"/>
  <c r="G75" i="26"/>
  <c r="D75" i="26"/>
  <c r="AH74" i="26"/>
  <c r="AC74" i="26"/>
  <c r="V74" i="26"/>
  <c r="P74" i="26"/>
  <c r="J74" i="26"/>
  <c r="G74" i="26"/>
  <c r="D74" i="26"/>
  <c r="AG72" i="26"/>
  <c r="AE72" i="26"/>
  <c r="AD72" i="26"/>
  <c r="AB72" i="26"/>
  <c r="AA72" i="26"/>
  <c r="Z72" i="26"/>
  <c r="Y72" i="26"/>
  <c r="X72" i="26"/>
  <c r="W72" i="26"/>
  <c r="U72" i="26"/>
  <c r="T72" i="26"/>
  <c r="S72" i="26"/>
  <c r="R72" i="26"/>
  <c r="Q72" i="26"/>
  <c r="O72" i="26"/>
  <c r="N72" i="26"/>
  <c r="M72" i="26"/>
  <c r="L72" i="26"/>
  <c r="K72" i="26"/>
  <c r="I72" i="26"/>
  <c r="H72" i="26"/>
  <c r="F72" i="26"/>
  <c r="E72" i="26"/>
  <c r="C72" i="26"/>
  <c r="B72" i="26"/>
  <c r="AF71" i="26"/>
  <c r="AH71" i="26" s="1"/>
  <c r="AC71" i="26"/>
  <c r="V71" i="26"/>
  <c r="P71" i="26"/>
  <c r="J71" i="26"/>
  <c r="G71" i="26"/>
  <c r="D71" i="26"/>
  <c r="AH70" i="26"/>
  <c r="AC70" i="26"/>
  <c r="V70" i="26"/>
  <c r="P70" i="26"/>
  <c r="J70" i="26"/>
  <c r="G70" i="26"/>
  <c r="D70" i="26"/>
  <c r="AH69" i="26"/>
  <c r="AC69" i="26"/>
  <c r="V69" i="26"/>
  <c r="P69" i="26"/>
  <c r="J69" i="26"/>
  <c r="G69" i="26"/>
  <c r="D69" i="26"/>
  <c r="AG68" i="26"/>
  <c r="AF68" i="26"/>
  <c r="AE68" i="26"/>
  <c r="AD68" i="26"/>
  <c r="Z68" i="26"/>
  <c r="Y68" i="26"/>
  <c r="X68" i="26"/>
  <c r="W68" i="26"/>
  <c r="U68" i="26"/>
  <c r="T68" i="26"/>
  <c r="S68" i="26"/>
  <c r="R68" i="26"/>
  <c r="Q68" i="26"/>
  <c r="O68" i="26"/>
  <c r="N68" i="26"/>
  <c r="M68" i="26"/>
  <c r="L68" i="26"/>
  <c r="K68" i="26"/>
  <c r="I68" i="26"/>
  <c r="H68" i="26"/>
  <c r="F68" i="26"/>
  <c r="E68" i="26"/>
  <c r="C68" i="26"/>
  <c r="B68" i="26"/>
  <c r="AH67" i="26"/>
  <c r="AC67" i="26"/>
  <c r="V67" i="26"/>
  <c r="P67" i="26"/>
  <c r="J67" i="26"/>
  <c r="G67" i="26"/>
  <c r="D67" i="26"/>
  <c r="AH66" i="26"/>
  <c r="AC66" i="26"/>
  <c r="AA66" i="26"/>
  <c r="AA68" i="26" s="1"/>
  <c r="V66" i="26"/>
  <c r="P66" i="26"/>
  <c r="J66" i="26"/>
  <c r="G66" i="26"/>
  <c r="D66" i="26"/>
  <c r="AH65" i="26"/>
  <c r="AC65" i="26"/>
  <c r="AB65" i="26"/>
  <c r="V65" i="26"/>
  <c r="V68" i="26" s="1"/>
  <c r="P65" i="26"/>
  <c r="P68" i="26" s="1"/>
  <c r="J65" i="26"/>
  <c r="G65" i="26"/>
  <c r="G68" i="26" s="1"/>
  <c r="D65" i="26"/>
  <c r="D68" i="26" s="1"/>
  <c r="AG64" i="26"/>
  <c r="AF64" i="26"/>
  <c r="AE64" i="26"/>
  <c r="AD64" i="26"/>
  <c r="AA64" i="26"/>
  <c r="Z64" i="26"/>
  <c r="Y64" i="26"/>
  <c r="X64" i="26"/>
  <c r="W64" i="26"/>
  <c r="U64" i="26"/>
  <c r="T64" i="26"/>
  <c r="S64" i="26"/>
  <c r="R64" i="26"/>
  <c r="Q64" i="26"/>
  <c r="O64" i="26"/>
  <c r="N64" i="26"/>
  <c r="M64" i="26"/>
  <c r="L64" i="26"/>
  <c r="K64" i="26"/>
  <c r="I64" i="26"/>
  <c r="H64" i="26"/>
  <c r="F64" i="26"/>
  <c r="E64" i="26"/>
  <c r="C64" i="26"/>
  <c r="B64" i="26"/>
  <c r="AH63" i="26"/>
  <c r="AC63" i="26"/>
  <c r="AB63" i="26"/>
  <c r="V63" i="26"/>
  <c r="P63" i="26"/>
  <c r="J63" i="26"/>
  <c r="G63" i="26"/>
  <c r="D63" i="26"/>
  <c r="AH62" i="26"/>
  <c r="AC62" i="26"/>
  <c r="AB62" i="26"/>
  <c r="V62" i="26"/>
  <c r="P62" i="26"/>
  <c r="J62" i="26"/>
  <c r="G62" i="26"/>
  <c r="D62" i="26"/>
  <c r="AH61" i="26"/>
  <c r="AH64" i="26" s="1"/>
  <c r="AC61" i="26"/>
  <c r="AC64" i="26" s="1"/>
  <c r="AB61" i="26"/>
  <c r="AB64" i="26" s="1"/>
  <c r="V61" i="26"/>
  <c r="V64" i="26" s="1"/>
  <c r="P61" i="26"/>
  <c r="P64" i="26" s="1"/>
  <c r="J61" i="26"/>
  <c r="J64" i="26" s="1"/>
  <c r="G61" i="26"/>
  <c r="G64" i="26" s="1"/>
  <c r="D61" i="26"/>
  <c r="D64" i="26" s="1"/>
  <c r="AE60" i="26"/>
  <c r="AD60" i="26"/>
  <c r="AA60" i="26"/>
  <c r="Z60" i="26"/>
  <c r="W60" i="26"/>
  <c r="U60" i="26"/>
  <c r="T60" i="26"/>
  <c r="S60" i="26"/>
  <c r="R60" i="26"/>
  <c r="Q60" i="26"/>
  <c r="O60" i="26"/>
  <c r="N60" i="26"/>
  <c r="M60" i="26"/>
  <c r="L60" i="26"/>
  <c r="K60" i="26"/>
  <c r="I60" i="26"/>
  <c r="H60" i="26"/>
  <c r="F60" i="26"/>
  <c r="E60" i="26"/>
  <c r="C60" i="26"/>
  <c r="B60" i="26"/>
  <c r="AC59" i="26"/>
  <c r="AB59" i="26"/>
  <c r="X59" i="26"/>
  <c r="V59" i="26"/>
  <c r="P59" i="26"/>
  <c r="J59" i="26"/>
  <c r="G59" i="26"/>
  <c r="D59" i="26"/>
  <c r="AC58" i="26"/>
  <c r="AB58" i="26"/>
  <c r="Y58" i="26"/>
  <c r="V58" i="26"/>
  <c r="P58" i="26"/>
  <c r="J58" i="26"/>
  <c r="G58" i="26"/>
  <c r="D58" i="26"/>
  <c r="AC57" i="26"/>
  <c r="AC60" i="26" s="1"/>
  <c r="AB57" i="26"/>
  <c r="AB60" i="26" s="1"/>
  <c r="Y57" i="26"/>
  <c r="V57" i="26"/>
  <c r="V60" i="26" s="1"/>
  <c r="P57" i="26"/>
  <c r="P60" i="26" s="1"/>
  <c r="J57" i="26"/>
  <c r="J60" i="26" s="1"/>
  <c r="G57" i="26"/>
  <c r="D57" i="26"/>
  <c r="AE55" i="26"/>
  <c r="AD55" i="26"/>
  <c r="AA55" i="26"/>
  <c r="Z55" i="26"/>
  <c r="X55" i="26"/>
  <c r="W55" i="26"/>
  <c r="U55" i="26"/>
  <c r="T55" i="26"/>
  <c r="S55" i="26"/>
  <c r="R55" i="26"/>
  <c r="Q55" i="26"/>
  <c r="O55" i="26"/>
  <c r="N55" i="26"/>
  <c r="M55" i="26"/>
  <c r="L55" i="26"/>
  <c r="K55" i="26"/>
  <c r="I55" i="26"/>
  <c r="H55" i="26"/>
  <c r="F55" i="26"/>
  <c r="E55" i="26"/>
  <c r="C55" i="26"/>
  <c r="B55" i="26"/>
  <c r="AC54" i="26"/>
  <c r="AB54" i="26"/>
  <c r="Y54" i="26"/>
  <c r="V54" i="26"/>
  <c r="P54" i="26"/>
  <c r="J54" i="26"/>
  <c r="G54" i="26"/>
  <c r="D54" i="26"/>
  <c r="AC53" i="26"/>
  <c r="AB53" i="26"/>
  <c r="Y53" i="26"/>
  <c r="V53" i="26"/>
  <c r="P53" i="26"/>
  <c r="J53" i="26"/>
  <c r="G53" i="26"/>
  <c r="D53" i="26"/>
  <c r="AC52" i="26"/>
  <c r="AB52" i="26"/>
  <c r="AB55" i="26" s="1"/>
  <c r="Y52" i="26"/>
  <c r="Y55" i="26" s="1"/>
  <c r="V52" i="26"/>
  <c r="V55" i="26" s="1"/>
  <c r="P52" i="26"/>
  <c r="P55" i="26" s="1"/>
  <c r="J52" i="26"/>
  <c r="J55" i="26" s="1"/>
  <c r="G52" i="26"/>
  <c r="G55" i="26" s="1"/>
  <c r="D52" i="26"/>
  <c r="D55" i="26" s="1"/>
  <c r="AE51" i="26"/>
  <c r="AD51" i="26"/>
  <c r="AA51" i="26"/>
  <c r="Z51" i="26"/>
  <c r="X51" i="26"/>
  <c r="W51" i="26"/>
  <c r="U51" i="26"/>
  <c r="T51" i="26"/>
  <c r="R51" i="26"/>
  <c r="Q51" i="26"/>
  <c r="O51" i="26"/>
  <c r="N51" i="26"/>
  <c r="M51" i="26"/>
  <c r="L51" i="26"/>
  <c r="K51" i="26"/>
  <c r="I51" i="26"/>
  <c r="H51" i="26"/>
  <c r="F51" i="26"/>
  <c r="E51" i="26"/>
  <c r="C51" i="26"/>
  <c r="B51" i="26"/>
  <c r="AC50" i="26"/>
  <c r="AB50" i="26"/>
  <c r="AB51" i="26" s="1"/>
  <c r="Y50" i="26"/>
  <c r="V50" i="26"/>
  <c r="P50" i="26"/>
  <c r="J50" i="26"/>
  <c r="G50" i="26"/>
  <c r="D50" i="26"/>
  <c r="AC49" i="26"/>
  <c r="Y49" i="26"/>
  <c r="V49" i="26"/>
  <c r="S49" i="26"/>
  <c r="P49" i="26"/>
  <c r="J49" i="26"/>
  <c r="G49" i="26"/>
  <c r="D49" i="26"/>
  <c r="AC48" i="26"/>
  <c r="AC51" i="26" s="1"/>
  <c r="Y48" i="26"/>
  <c r="V48" i="26"/>
  <c r="S48" i="26"/>
  <c r="S51" i="26" s="1"/>
  <c r="P48" i="26"/>
  <c r="P51" i="26" s="1"/>
  <c r="J48" i="26"/>
  <c r="J51" i="26" s="1"/>
  <c r="G48" i="26"/>
  <c r="G51" i="26" s="1"/>
  <c r="D48" i="26"/>
  <c r="D51" i="26" s="1"/>
  <c r="AE47" i="26"/>
  <c r="AD47" i="26"/>
  <c r="AB47" i="26"/>
  <c r="AA47" i="26"/>
  <c r="Z47" i="26"/>
  <c r="X47" i="26"/>
  <c r="W47" i="26"/>
  <c r="U47" i="26"/>
  <c r="T47" i="26"/>
  <c r="R47" i="26"/>
  <c r="Q47" i="26"/>
  <c r="O47" i="26"/>
  <c r="N47" i="26"/>
  <c r="M47" i="26"/>
  <c r="L47" i="26"/>
  <c r="K47" i="26"/>
  <c r="I47" i="26"/>
  <c r="H47" i="26"/>
  <c r="F47" i="26"/>
  <c r="E47" i="26"/>
  <c r="C47" i="26"/>
  <c r="B47" i="26"/>
  <c r="AC46" i="26"/>
  <c r="Y46" i="26"/>
  <c r="V46" i="26"/>
  <c r="S46" i="26"/>
  <c r="P46" i="26"/>
  <c r="J46" i="26"/>
  <c r="G46" i="26"/>
  <c r="D46" i="26"/>
  <c r="AC45" i="26"/>
  <c r="Y45" i="26"/>
  <c r="V45" i="26"/>
  <c r="S45" i="26"/>
  <c r="P45" i="26"/>
  <c r="J45" i="26"/>
  <c r="G45" i="26"/>
  <c r="D45" i="26"/>
  <c r="AC44" i="26"/>
  <c r="AC47" i="26" s="1"/>
  <c r="Y44" i="26"/>
  <c r="Y47" i="26" s="1"/>
  <c r="V44" i="26"/>
  <c r="V47" i="26" s="1"/>
  <c r="S44" i="26"/>
  <c r="S47" i="26" s="1"/>
  <c r="P44" i="26"/>
  <c r="P47" i="26" s="1"/>
  <c r="J44" i="26"/>
  <c r="J47" i="26" s="1"/>
  <c r="G44" i="26"/>
  <c r="G47" i="26" s="1"/>
  <c r="D44" i="26"/>
  <c r="D47" i="26" s="1"/>
  <c r="AB43" i="26"/>
  <c r="AA43" i="26"/>
  <c r="Z43" i="26"/>
  <c r="Y43" i="26"/>
  <c r="X43" i="26"/>
  <c r="W43" i="26"/>
  <c r="U43" i="26"/>
  <c r="T43" i="26"/>
  <c r="R43" i="26"/>
  <c r="Q43" i="26"/>
  <c r="O43" i="26"/>
  <c r="N43" i="26"/>
  <c r="M43" i="26"/>
  <c r="L43" i="26"/>
  <c r="K43" i="26"/>
  <c r="I43" i="26"/>
  <c r="H43" i="26"/>
  <c r="F43" i="26"/>
  <c r="E43" i="26"/>
  <c r="C43" i="26"/>
  <c r="B43" i="26"/>
  <c r="V42" i="26"/>
  <c r="S42" i="26"/>
  <c r="P42" i="26"/>
  <c r="J42" i="26"/>
  <c r="G42" i="26"/>
  <c r="D42" i="26"/>
  <c r="V41" i="26"/>
  <c r="S41" i="26"/>
  <c r="P41" i="26"/>
  <c r="J41" i="26"/>
  <c r="G41" i="26"/>
  <c r="D41" i="26"/>
  <c r="V40" i="26"/>
  <c r="S40" i="26"/>
  <c r="P40" i="26"/>
  <c r="J40" i="26"/>
  <c r="G40" i="26"/>
  <c r="D40" i="26"/>
  <c r="U38" i="26"/>
  <c r="R38" i="26"/>
  <c r="S38" i="26" s="1"/>
  <c r="O38" i="26"/>
  <c r="N38" i="26"/>
  <c r="I38" i="26"/>
  <c r="H38" i="26"/>
  <c r="F38" i="26"/>
  <c r="E38" i="26"/>
  <c r="C38" i="26"/>
  <c r="B38" i="26"/>
  <c r="V37" i="26"/>
  <c r="S37" i="26"/>
  <c r="P37" i="26"/>
  <c r="J37" i="26"/>
  <c r="G37" i="26"/>
  <c r="D37" i="26"/>
  <c r="V36" i="26"/>
  <c r="S36" i="26"/>
  <c r="P36" i="26"/>
  <c r="J36" i="26"/>
  <c r="G36" i="26"/>
  <c r="D36" i="26"/>
  <c r="S35" i="26"/>
  <c r="P35" i="26"/>
  <c r="J35" i="26"/>
  <c r="G35" i="26"/>
  <c r="D35" i="26"/>
  <c r="R34" i="26"/>
  <c r="S34" i="26" s="1"/>
  <c r="O34" i="26"/>
  <c r="N34" i="26"/>
  <c r="L34" i="26"/>
  <c r="K34" i="26"/>
  <c r="I34" i="26"/>
  <c r="H34" i="26"/>
  <c r="F34" i="26"/>
  <c r="E34" i="26"/>
  <c r="C34" i="26"/>
  <c r="B34" i="26"/>
  <c r="S33" i="26"/>
  <c r="P33" i="26"/>
  <c r="J33" i="26"/>
  <c r="G33" i="26"/>
  <c r="D33" i="26"/>
  <c r="S32" i="26"/>
  <c r="P32" i="26"/>
  <c r="J32" i="26"/>
  <c r="G32" i="26"/>
  <c r="D32" i="26"/>
  <c r="P31" i="26"/>
  <c r="M31" i="26"/>
  <c r="M34" i="26" s="1"/>
  <c r="J31" i="26"/>
  <c r="G31" i="26"/>
  <c r="D31" i="26"/>
  <c r="O30" i="26"/>
  <c r="N30" i="26"/>
  <c r="L30" i="26"/>
  <c r="K30" i="26"/>
  <c r="I30" i="26"/>
  <c r="H30" i="26"/>
  <c r="F30" i="26"/>
  <c r="E30" i="26"/>
  <c r="C30" i="26"/>
  <c r="B30" i="26"/>
  <c r="P29" i="26"/>
  <c r="P30" i="26" s="1"/>
  <c r="M29" i="26"/>
  <c r="J29" i="26"/>
  <c r="G29" i="26"/>
  <c r="D29" i="26"/>
  <c r="M28" i="26"/>
  <c r="J28" i="26"/>
  <c r="G28" i="26"/>
  <c r="D28" i="26"/>
  <c r="M27" i="26"/>
  <c r="J27" i="26"/>
  <c r="J30" i="26" s="1"/>
  <c r="G27" i="26"/>
  <c r="G30" i="26" s="1"/>
  <c r="D27" i="26"/>
  <c r="D30" i="26" s="1"/>
  <c r="L26" i="26"/>
  <c r="K26" i="26"/>
  <c r="I26" i="26"/>
  <c r="H26" i="26"/>
  <c r="F26" i="26"/>
  <c r="E26" i="26"/>
  <c r="C26" i="26"/>
  <c r="B26" i="26"/>
  <c r="M25" i="26"/>
  <c r="J25" i="26"/>
  <c r="G25" i="26"/>
  <c r="D25" i="26"/>
  <c r="M24" i="26"/>
  <c r="J24" i="26"/>
  <c r="G24" i="26"/>
  <c r="D24" i="26"/>
  <c r="M23" i="26"/>
  <c r="M26" i="26" s="1"/>
  <c r="J23" i="26"/>
  <c r="J26" i="26" s="1"/>
  <c r="G23" i="26"/>
  <c r="G26" i="26" s="1"/>
  <c r="D23" i="26"/>
  <c r="L22" i="26"/>
  <c r="K22" i="26"/>
  <c r="I22" i="26"/>
  <c r="H22" i="26"/>
  <c r="F22" i="26"/>
  <c r="E22" i="26"/>
  <c r="C22" i="26"/>
  <c r="B22" i="26"/>
  <c r="M21" i="26"/>
  <c r="J21" i="26"/>
  <c r="G21" i="26"/>
  <c r="D21" i="26"/>
  <c r="M20" i="26"/>
  <c r="J20" i="26"/>
  <c r="G20" i="26"/>
  <c r="D20" i="26"/>
  <c r="M19" i="26"/>
  <c r="D19" i="26"/>
  <c r="M18" i="26"/>
  <c r="D18" i="26"/>
  <c r="M17" i="26"/>
  <c r="D17" i="26"/>
  <c r="M16" i="26"/>
  <c r="D16" i="26"/>
  <c r="D15" i="26"/>
  <c r="D14" i="26"/>
  <c r="D13" i="26"/>
  <c r="AI12" i="26"/>
  <c r="AI13" i="26" s="1"/>
  <c r="AI14" i="26" s="1"/>
  <c r="AI15" i="26" s="1"/>
  <c r="AI16" i="26" s="1"/>
  <c r="AI17" i="26" s="1"/>
  <c r="AI18" i="26" s="1"/>
  <c r="AI19" i="26" s="1"/>
  <c r="AI20" i="26" s="1"/>
  <c r="AI21" i="26" s="1"/>
  <c r="D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D11" i="26"/>
  <c r="D10" i="26"/>
  <c r="C9" i="26"/>
  <c r="B9" i="26"/>
  <c r="AI8" i="26"/>
  <c r="D8" i="26"/>
  <c r="A8" i="26"/>
  <c r="D7" i="26"/>
  <c r="D6" i="26"/>
  <c r="D5" i="26"/>
  <c r="V119" i="26" l="1"/>
  <c r="Z124" i="26"/>
  <c r="X124" i="26"/>
  <c r="AB124" i="26"/>
  <c r="Y51" i="26"/>
  <c r="W124" i="26"/>
  <c r="AA124" i="26"/>
  <c r="G77" i="26"/>
  <c r="G85" i="26"/>
  <c r="V115" i="26"/>
  <c r="M30" i="26"/>
  <c r="M39" i="26" s="1"/>
  <c r="N39" i="26"/>
  <c r="C73" i="26"/>
  <c r="P94" i="26"/>
  <c r="P98" i="26"/>
  <c r="P102" i="26"/>
  <c r="P106" i="26"/>
  <c r="O39" i="26"/>
  <c r="AH68" i="26"/>
  <c r="K73" i="26"/>
  <c r="O90" i="26"/>
  <c r="AC55" i="26"/>
  <c r="AC56" i="26" s="1"/>
  <c r="J77" i="26"/>
  <c r="S124" i="26"/>
  <c r="J38" i="26"/>
  <c r="G38" i="26"/>
  <c r="AK38" i="26" s="1"/>
  <c r="J43" i="26"/>
  <c r="J56" i="26" s="1"/>
  <c r="R56" i="26"/>
  <c r="F56" i="26"/>
  <c r="T90" i="26"/>
  <c r="T124" i="26"/>
  <c r="AC123" i="26"/>
  <c r="AL123" i="26" s="1"/>
  <c r="G22" i="26"/>
  <c r="D34" i="26"/>
  <c r="P34" i="26"/>
  <c r="AL34" i="26" s="1"/>
  <c r="D38" i="26"/>
  <c r="P43" i="26"/>
  <c r="P56" i="26" s="1"/>
  <c r="AK51" i="26"/>
  <c r="AJ51" i="26"/>
  <c r="W73" i="26"/>
  <c r="J72" i="26"/>
  <c r="V72" i="26"/>
  <c r="V73" i="26" s="1"/>
  <c r="G81" i="26"/>
  <c r="AC81" i="26"/>
  <c r="P81" i="26"/>
  <c r="AJ89" i="26"/>
  <c r="P111" i="26"/>
  <c r="Q124" i="26"/>
  <c r="U124" i="26"/>
  <c r="AE124" i="26"/>
  <c r="AC119" i="26"/>
  <c r="AK119" i="26"/>
  <c r="H107" i="26"/>
  <c r="C39" i="26"/>
  <c r="N56" i="26"/>
  <c r="E39" i="26"/>
  <c r="H39" i="26"/>
  <c r="D43" i="26"/>
  <c r="AJ47" i="26"/>
  <c r="K56" i="26"/>
  <c r="AE56" i="26"/>
  <c r="AK55" i="26"/>
  <c r="L73" i="26"/>
  <c r="AA73" i="26"/>
  <c r="D77" i="26"/>
  <c r="F90" i="26"/>
  <c r="I90" i="26"/>
  <c r="X90" i="26"/>
  <c r="AG90" i="26"/>
  <c r="D85" i="26"/>
  <c r="V98" i="26"/>
  <c r="V106" i="26"/>
  <c r="AK30" i="26"/>
  <c r="U90" i="26"/>
  <c r="I56" i="26"/>
  <c r="AJ34" i="26"/>
  <c r="S43" i="26"/>
  <c r="S56" i="26" s="1"/>
  <c r="E56" i="26"/>
  <c r="O73" i="26"/>
  <c r="P72" i="26"/>
  <c r="G72" i="26"/>
  <c r="AK72" i="26" s="1"/>
  <c r="V77" i="26"/>
  <c r="AB90" i="26"/>
  <c r="J85" i="26"/>
  <c r="P85" i="26"/>
  <c r="G89" i="26"/>
  <c r="V94" i="26"/>
  <c r="V102" i="26"/>
  <c r="V111" i="26"/>
  <c r="V124" i="26" s="1"/>
  <c r="N124" i="26"/>
  <c r="D22" i="26"/>
  <c r="M22" i="26"/>
  <c r="AJ30" i="26"/>
  <c r="AJ38" i="26"/>
  <c r="G43" i="26"/>
  <c r="G56" i="26" s="1"/>
  <c r="V43" i="26"/>
  <c r="L56" i="26"/>
  <c r="U56" i="26"/>
  <c r="Z56" i="26"/>
  <c r="AA56" i="26"/>
  <c r="V51" i="26"/>
  <c r="AL51" i="26" s="1"/>
  <c r="R73" i="26"/>
  <c r="J68" i="26"/>
  <c r="J73" i="26" s="1"/>
  <c r="AC68" i="26"/>
  <c r="AB66" i="26"/>
  <c r="AB68" i="26" s="1"/>
  <c r="AH72" i="26"/>
  <c r="AC77" i="26"/>
  <c r="AH77" i="26"/>
  <c r="AH90" i="26" s="1"/>
  <c r="K90" i="26"/>
  <c r="AD90" i="26"/>
  <c r="D81" i="26"/>
  <c r="V81" i="26"/>
  <c r="E90" i="26"/>
  <c r="Y90" i="26"/>
  <c r="AC85" i="26"/>
  <c r="P89" i="26"/>
  <c r="AC111" i="26"/>
  <c r="AC115" i="26"/>
  <c r="AJ119" i="26"/>
  <c r="D26" i="26"/>
  <c r="W56" i="26"/>
  <c r="AB56" i="26"/>
  <c r="G60" i="26"/>
  <c r="Q90" i="26"/>
  <c r="I39" i="26"/>
  <c r="L39" i="26"/>
  <c r="AD56" i="26"/>
  <c r="S73" i="26"/>
  <c r="AH73" i="26"/>
  <c r="T73" i="26"/>
  <c r="Z73" i="26"/>
  <c r="M90" i="26"/>
  <c r="AF90" i="26"/>
  <c r="L90" i="26"/>
  <c r="AE90" i="26"/>
  <c r="AC94" i="26"/>
  <c r="J98" i="26"/>
  <c r="AC98" i="26"/>
  <c r="J102" i="26"/>
  <c r="AC102" i="26"/>
  <c r="J106" i="26"/>
  <c r="AC106" i="26"/>
  <c r="R124" i="26"/>
  <c r="P115" i="26"/>
  <c r="AL119" i="26"/>
  <c r="D56" i="26"/>
  <c r="AL47" i="26"/>
  <c r="AK85" i="26"/>
  <c r="X60" i="26"/>
  <c r="X73" i="26" s="1"/>
  <c r="Y59" i="26"/>
  <c r="Y60" i="26" s="1"/>
  <c r="Y73" i="26" s="1"/>
  <c r="J22" i="26"/>
  <c r="AK22" i="26" s="1"/>
  <c r="AJ22" i="26"/>
  <c r="U39" i="26"/>
  <c r="V38" i="26"/>
  <c r="H56" i="26"/>
  <c r="M56" i="26"/>
  <c r="Q56" i="26"/>
  <c r="C56" i="26"/>
  <c r="AK47" i="26"/>
  <c r="AJ55" i="26"/>
  <c r="AL64" i="26"/>
  <c r="AJ64" i="26"/>
  <c r="H90" i="26"/>
  <c r="AJ85" i="26"/>
  <c r="F39" i="26"/>
  <c r="AJ26" i="26"/>
  <c r="G34" i="26"/>
  <c r="X56" i="26"/>
  <c r="B56" i="26"/>
  <c r="P73" i="26"/>
  <c r="F73" i="26"/>
  <c r="N73" i="26"/>
  <c r="AD73" i="26"/>
  <c r="AK64" i="26"/>
  <c r="D72" i="26"/>
  <c r="B73" i="26"/>
  <c r="B90" i="26"/>
  <c r="AJ77" i="26"/>
  <c r="G94" i="26"/>
  <c r="Q107" i="26"/>
  <c r="AJ107" i="26" s="1"/>
  <c r="U107" i="26"/>
  <c r="AC128" i="26"/>
  <c r="AL128" i="26" s="1"/>
  <c r="D9" i="26"/>
  <c r="AL26" i="26"/>
  <c r="B39" i="26"/>
  <c r="K39" i="26"/>
  <c r="AK26" i="26"/>
  <c r="J34" i="26"/>
  <c r="J39" i="26" s="1"/>
  <c r="P38" i="26"/>
  <c r="R39" i="26"/>
  <c r="O56" i="26"/>
  <c r="T56" i="26"/>
  <c r="Y56" i="26"/>
  <c r="AJ43" i="26"/>
  <c r="AJ60" i="26"/>
  <c r="AE73" i="26"/>
  <c r="J89" i="26"/>
  <c r="AC89" i="26"/>
  <c r="M107" i="26"/>
  <c r="AJ111" i="26"/>
  <c r="D60" i="26"/>
  <c r="Q73" i="26"/>
  <c r="U73" i="26"/>
  <c r="H73" i="26"/>
  <c r="AC72" i="26"/>
  <c r="AC73" i="26" s="1"/>
  <c r="P77" i="26"/>
  <c r="J81" i="26"/>
  <c r="AJ81" i="26"/>
  <c r="V85" i="26"/>
  <c r="V89" i="26"/>
  <c r="AL89" i="26"/>
  <c r="J94" i="26"/>
  <c r="J107" i="26" s="1"/>
  <c r="AK111" i="26"/>
  <c r="AJ115" i="26"/>
  <c r="E73" i="26"/>
  <c r="I73" i="26"/>
  <c r="M73" i="26"/>
  <c r="AG73" i="26"/>
  <c r="AJ68" i="26"/>
  <c r="C90" i="26"/>
  <c r="G98" i="26"/>
  <c r="AK98" i="26" s="1"/>
  <c r="H63" i="20" s="1"/>
  <c r="AJ98" i="26"/>
  <c r="H60" i="18" s="1"/>
  <c r="G102" i="26"/>
  <c r="AK102" i="26" s="1"/>
  <c r="I63" i="20" s="1"/>
  <c r="AJ102" i="26"/>
  <c r="I60" i="18" s="1"/>
  <c r="G106" i="26"/>
  <c r="AK106" i="26" s="1"/>
  <c r="J63" i="20" s="1"/>
  <c r="AJ106" i="26"/>
  <c r="J60" i="18" s="1"/>
  <c r="Y124" i="26"/>
  <c r="AD124" i="26"/>
  <c r="AK115" i="26"/>
  <c r="O124" i="26"/>
  <c r="AF72" i="26"/>
  <c r="AF73" i="26" s="1"/>
  <c r="AJ94" i="26"/>
  <c r="G60" i="18" s="1"/>
  <c r="W4" i="26" l="1"/>
  <c r="AL102" i="26"/>
  <c r="AL111" i="26"/>
  <c r="AK81" i="26"/>
  <c r="AL115" i="26"/>
  <c r="P90" i="26"/>
  <c r="AK43" i="26"/>
  <c r="AK34" i="26"/>
  <c r="AL77" i="26"/>
  <c r="AK77" i="26"/>
  <c r="AL43" i="26"/>
  <c r="G73" i="26"/>
  <c r="AK73" i="26" s="1"/>
  <c r="AL98" i="26"/>
  <c r="AL81" i="26"/>
  <c r="AL94" i="26"/>
  <c r="G90" i="26"/>
  <c r="AK124" i="26"/>
  <c r="G64" i="14" s="1"/>
  <c r="E4" i="26"/>
  <c r="AL55" i="26"/>
  <c r="AH4" i="26"/>
  <c r="D90" i="26"/>
  <c r="AE4" i="26"/>
  <c r="C4" i="26"/>
  <c r="T4" i="26"/>
  <c r="AL30" i="26"/>
  <c r="AA4" i="26"/>
  <c r="P107" i="26"/>
  <c r="AC90" i="26"/>
  <c r="D39" i="26"/>
  <c r="K4" i="26"/>
  <c r="AJ90" i="26"/>
  <c r="H4" i="26"/>
  <c r="AL106" i="26"/>
  <c r="AG4" i="26"/>
  <c r="AF4" i="26"/>
  <c r="AK89" i="26"/>
  <c r="AL38" i="26"/>
  <c r="AK60" i="26"/>
  <c r="Z4" i="26"/>
  <c r="AC124" i="26"/>
  <c r="V56" i="26"/>
  <c r="AL56" i="26" s="1"/>
  <c r="N4" i="26"/>
  <c r="AL22" i="26"/>
  <c r="AJ124" i="26"/>
  <c r="I4" i="26"/>
  <c r="AL85" i="26"/>
  <c r="O4" i="26"/>
  <c r="AL125" i="26"/>
  <c r="V107" i="26"/>
  <c r="AL68" i="26"/>
  <c r="AB73" i="26"/>
  <c r="AB4" i="26" s="1"/>
  <c r="AJ108" i="26"/>
  <c r="AK68" i="26"/>
  <c r="AK74" i="26" s="1"/>
  <c r="AD4" i="26"/>
  <c r="AJ56" i="26"/>
  <c r="M4" i="26"/>
  <c r="AC107" i="26"/>
  <c r="P124" i="26"/>
  <c r="F4" i="26"/>
  <c r="L4" i="26"/>
  <c r="AL91" i="26"/>
  <c r="Y4" i="26"/>
  <c r="S39" i="26"/>
  <c r="S4" i="26" s="1"/>
  <c r="R4" i="26"/>
  <c r="AK125" i="26"/>
  <c r="AJ72" i="26"/>
  <c r="AJ74" i="26" s="1"/>
  <c r="AJ39" i="26"/>
  <c r="AJ73" i="26"/>
  <c r="V90" i="26"/>
  <c r="P39" i="26"/>
  <c r="G39" i="26"/>
  <c r="D73" i="26"/>
  <c r="AL60" i="26"/>
  <c r="G107" i="26"/>
  <c r="AK107" i="26" s="1"/>
  <c r="AK94" i="26"/>
  <c r="AL72" i="26"/>
  <c r="X4" i="26"/>
  <c r="AK56" i="26"/>
  <c r="B4" i="26"/>
  <c r="AL57" i="26"/>
  <c r="AJ125" i="26"/>
  <c r="AJ57" i="26"/>
  <c r="AK57" i="26"/>
  <c r="AJ91" i="26"/>
  <c r="J90" i="26"/>
  <c r="Q4" i="26"/>
  <c r="V39" i="26"/>
  <c r="U4" i="26"/>
  <c r="AL124" i="26" l="1"/>
  <c r="AK91" i="26"/>
  <c r="G63" i="20"/>
  <c r="G62" i="18" s="1"/>
  <c r="AL90" i="26"/>
  <c r="AL108" i="26"/>
  <c r="AC4" i="26"/>
  <c r="AK90" i="26"/>
  <c r="AL73" i="26"/>
  <c r="V4" i="26"/>
  <c r="P4" i="26"/>
  <c r="AL107" i="26"/>
  <c r="J4" i="26"/>
  <c r="AK108" i="26"/>
  <c r="AL74" i="26"/>
  <c r="AL39" i="26"/>
  <c r="G4" i="26"/>
  <c r="AK39" i="26"/>
  <c r="D4" i="26"/>
  <c r="F11" i="24" l="1"/>
  <c r="F54" i="23"/>
  <c r="F55" i="23"/>
  <c r="F56" i="23"/>
  <c r="F57" i="23"/>
  <c r="F58" i="23"/>
  <c r="F59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31" i="23" l="1"/>
  <c r="J44" i="10"/>
  <c r="F84" i="22"/>
  <c r="F85" i="22"/>
  <c r="F86" i="22"/>
  <c r="F72" i="22"/>
  <c r="F73" i="22"/>
  <c r="F74" i="22"/>
  <c r="F75" i="22"/>
  <c r="F76" i="22"/>
  <c r="F77" i="22"/>
  <c r="F62" i="22"/>
  <c r="F63" i="22"/>
  <c r="F64" i="22"/>
  <c r="F65" i="22"/>
  <c r="F66" i="22"/>
  <c r="F67" i="22"/>
  <c r="F68" i="22"/>
  <c r="F69" i="22"/>
  <c r="F70" i="22"/>
  <c r="C44" i="10" l="1"/>
  <c r="B44" i="10"/>
  <c r="E114" i="14" l="1"/>
  <c r="E9" i="22" l="1"/>
  <c r="E31" i="19" s="1"/>
  <c r="E10" i="22"/>
  <c r="E11" i="22"/>
  <c r="E12" i="22"/>
  <c r="E14" i="22"/>
  <c r="E15" i="22"/>
  <c r="E17" i="22"/>
  <c r="E19" i="22"/>
  <c r="E20" i="22"/>
  <c r="E22" i="22"/>
  <c r="E23" i="22"/>
  <c r="E24" i="22"/>
  <c r="E25" i="22"/>
  <c r="E29" i="22"/>
  <c r="E30" i="22"/>
  <c r="E31" i="22"/>
  <c r="E33" i="22"/>
  <c r="E36" i="22"/>
  <c r="E37" i="22"/>
  <c r="E39" i="22"/>
  <c r="C10" i="23" l="1"/>
  <c r="C17" i="18" s="1"/>
  <c r="C8" i="18" s="1"/>
  <c r="C64" i="20"/>
  <c r="F19" i="18" l="1"/>
  <c r="H31" i="18" l="1"/>
  <c r="G26" i="18"/>
  <c r="G23" i="18"/>
  <c r="G7" i="22" l="1"/>
  <c r="G17" i="20" s="1"/>
  <c r="H7" i="22"/>
  <c r="H17" i="20" s="1"/>
  <c r="I7" i="22"/>
  <c r="I17" i="20" s="1"/>
  <c r="J7" i="22"/>
  <c r="J17" i="20" s="1"/>
  <c r="F45" i="22"/>
  <c r="E9" i="24"/>
  <c r="C8" i="24"/>
  <c r="E17" i="24"/>
  <c r="F17" i="20" l="1"/>
  <c r="G9" i="20"/>
  <c r="I9" i="20"/>
  <c r="H9" i="20"/>
  <c r="J9" i="20"/>
  <c r="D66" i="10"/>
  <c r="M66" i="10" s="1"/>
  <c r="D65" i="10"/>
  <c r="M65" i="10" s="1"/>
  <c r="D64" i="10"/>
  <c r="M64" i="10" s="1"/>
  <c r="D63" i="10"/>
  <c r="M63" i="10" s="1"/>
  <c r="D62" i="10"/>
  <c r="M62" i="10" s="1"/>
  <c r="J14" i="10"/>
  <c r="D61" i="10" l="1"/>
  <c r="C9" i="21"/>
  <c r="E100" i="14" l="1"/>
  <c r="E99" i="14"/>
  <c r="F35" i="22" l="1"/>
  <c r="F36" i="22"/>
  <c r="F44" i="22"/>
  <c r="F11" i="22" l="1"/>
  <c r="C61" i="22" l="1"/>
  <c r="C51" i="20" s="1"/>
  <c r="H46" i="22"/>
  <c r="H39" i="20" s="1"/>
  <c r="I46" i="22"/>
  <c r="I39" i="20" s="1"/>
  <c r="J46" i="22"/>
  <c r="J39" i="20" s="1"/>
  <c r="G46" i="22"/>
  <c r="G39" i="20" s="1"/>
  <c r="K60" i="22"/>
  <c r="H93" i="20"/>
  <c r="I93" i="20"/>
  <c r="F93" i="20" s="1"/>
  <c r="J93" i="20"/>
  <c r="G93" i="20"/>
  <c r="H92" i="20"/>
  <c r="H38" i="19" s="1"/>
  <c r="I92" i="20"/>
  <c r="I38" i="19" s="1"/>
  <c r="J92" i="20"/>
  <c r="J38" i="19" s="1"/>
  <c r="G92" i="20"/>
  <c r="H91" i="20"/>
  <c r="I91" i="20"/>
  <c r="J91" i="20"/>
  <c r="G24" i="18"/>
  <c r="Q29" i="9"/>
  <c r="V29" i="9"/>
  <c r="I25" i="19" l="1"/>
  <c r="I29" i="19"/>
  <c r="I24" i="18" s="1"/>
  <c r="I30" i="18"/>
  <c r="I36" i="19"/>
  <c r="J19" i="20"/>
  <c r="J94" i="20"/>
  <c r="H29" i="19"/>
  <c r="H24" i="18" s="1"/>
  <c r="H25" i="19"/>
  <c r="F91" i="20"/>
  <c r="H30" i="18"/>
  <c r="H36" i="19"/>
  <c r="I19" i="20"/>
  <c r="I94" i="20"/>
  <c r="G20" i="18"/>
  <c r="G38" i="19"/>
  <c r="F92" i="20"/>
  <c r="H19" i="20"/>
  <c r="H94" i="20"/>
  <c r="J29" i="19"/>
  <c r="J24" i="18" s="1"/>
  <c r="J25" i="19"/>
  <c r="J30" i="18"/>
  <c r="J36" i="19"/>
  <c r="G19" i="20"/>
  <c r="G94" i="20"/>
  <c r="F94" i="20" s="1"/>
  <c r="G29" i="18"/>
  <c r="AA29" i="9"/>
  <c r="C28" i="23"/>
  <c r="E28" i="23"/>
  <c r="F28" i="23"/>
  <c r="C17" i="23"/>
  <c r="D17" i="23"/>
  <c r="E17" i="23" s="1"/>
  <c r="G17" i="23"/>
  <c r="H17" i="23"/>
  <c r="I17" i="23"/>
  <c r="J17" i="23"/>
  <c r="G21" i="18" l="1"/>
  <c r="J29" i="18"/>
  <c r="J20" i="18" s="1"/>
  <c r="J19" i="19"/>
  <c r="G30" i="18"/>
  <c r="G36" i="19"/>
  <c r="H29" i="18"/>
  <c r="H20" i="18" s="1"/>
  <c r="H19" i="19"/>
  <c r="I19" i="19"/>
  <c r="I29" i="18"/>
  <c r="I20" i="18" s="1"/>
  <c r="F17" i="23"/>
  <c r="G61" i="10" l="1"/>
  <c r="D49" i="23" l="1"/>
  <c r="D48" i="23" s="1"/>
  <c r="D47" i="18" l="1"/>
  <c r="D44" i="18" s="1"/>
  <c r="E16" i="22"/>
  <c r="J61" i="22"/>
  <c r="J51" i="20" s="1"/>
  <c r="J48" i="20" s="1"/>
  <c r="I61" i="22"/>
  <c r="I51" i="20" s="1"/>
  <c r="I48" i="20" s="1"/>
  <c r="H61" i="22"/>
  <c r="H51" i="20" s="1"/>
  <c r="H48" i="20" s="1"/>
  <c r="G61" i="22"/>
  <c r="G51" i="20" s="1"/>
  <c r="G48" i="20" s="1"/>
  <c r="F82" i="22"/>
  <c r="E82" i="22"/>
  <c r="F80" i="22"/>
  <c r="E80" i="22"/>
  <c r="J79" i="22"/>
  <c r="I79" i="22"/>
  <c r="H79" i="22"/>
  <c r="G79" i="22"/>
  <c r="D79" i="22"/>
  <c r="E79" i="22" s="1"/>
  <c r="C79" i="22"/>
  <c r="F61" i="22" l="1"/>
  <c r="F79" i="22"/>
  <c r="E104" i="14"/>
  <c r="F32" i="19" l="1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8" i="22"/>
  <c r="F9" i="22"/>
  <c r="F10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8" i="22"/>
  <c r="F39" i="22"/>
  <c r="F7" i="22" l="1"/>
  <c r="M61" i="10" l="1"/>
  <c r="J62" i="18" l="1"/>
  <c r="AA27" i="9"/>
  <c r="H62" i="18" l="1"/>
  <c r="I62" i="18"/>
  <c r="E9" i="25"/>
  <c r="H11" i="10"/>
  <c r="H23" i="10" s="1"/>
  <c r="H12" i="10"/>
  <c r="H24" i="10" s="1"/>
  <c r="L13" i="10"/>
  <c r="E13" i="24"/>
  <c r="E14" i="24"/>
  <c r="E15" i="24"/>
  <c r="E16" i="24"/>
  <c r="E18" i="24"/>
  <c r="E19" i="24"/>
  <c r="E21" i="24"/>
  <c r="E22" i="24"/>
  <c r="E20" i="24" s="1"/>
  <c r="E10" i="3" s="1"/>
  <c r="E24" i="24"/>
  <c r="E32" i="24"/>
  <c r="E9" i="23"/>
  <c r="E14" i="23"/>
  <c r="E15" i="23"/>
  <c r="E24" i="23"/>
  <c r="E25" i="23"/>
  <c r="E32" i="23"/>
  <c r="E33" i="23"/>
  <c r="E34" i="23"/>
  <c r="E35" i="23"/>
  <c r="E36" i="23"/>
  <c r="E37" i="23"/>
  <c r="E38" i="23"/>
  <c r="E39" i="23"/>
  <c r="E40" i="23"/>
  <c r="E49" i="23"/>
  <c r="E48" i="23" s="1"/>
  <c r="E47" i="18" s="1"/>
  <c r="E52" i="23"/>
  <c r="E61" i="23"/>
  <c r="E62" i="23"/>
  <c r="E63" i="23"/>
  <c r="E64" i="23"/>
  <c r="E65" i="23"/>
  <c r="E66" i="23"/>
  <c r="E67" i="23"/>
  <c r="E8" i="23"/>
  <c r="E37" i="18"/>
  <c r="E38" i="18"/>
  <c r="E39" i="18"/>
  <c r="E40" i="18"/>
  <c r="E43" i="18"/>
  <c r="E48" i="18"/>
  <c r="E50" i="18"/>
  <c r="E51" i="18"/>
  <c r="E53" i="18"/>
  <c r="E59" i="18"/>
  <c r="E61" i="18"/>
  <c r="E62" i="18"/>
  <c r="E63" i="18"/>
  <c r="E9" i="18"/>
  <c r="E10" i="18"/>
  <c r="E11" i="18"/>
  <c r="E12" i="18"/>
  <c r="E82" i="14" s="1"/>
  <c r="E13" i="18"/>
  <c r="E14" i="18"/>
  <c r="E15" i="18"/>
  <c r="E16" i="18"/>
  <c r="E22" i="18"/>
  <c r="E23" i="18"/>
  <c r="E25" i="18"/>
  <c r="E26" i="18"/>
  <c r="E27" i="18"/>
  <c r="E28" i="18"/>
  <c r="E31" i="18"/>
  <c r="E32" i="18"/>
  <c r="E33" i="18"/>
  <c r="E20" i="19"/>
  <c r="E21" i="19"/>
  <c r="E22" i="19"/>
  <c r="E23" i="19"/>
  <c r="E24" i="19"/>
  <c r="E26" i="19"/>
  <c r="E30" i="19"/>
  <c r="E32" i="19"/>
  <c r="E34" i="19"/>
  <c r="E35" i="19"/>
  <c r="E37" i="19"/>
  <c r="E41" i="19"/>
  <c r="E42" i="19"/>
  <c r="E11" i="19"/>
  <c r="E12" i="19"/>
  <c r="E13" i="19"/>
  <c r="E14" i="19"/>
  <c r="E15" i="19"/>
  <c r="E16" i="19"/>
  <c r="E8" i="22"/>
  <c r="E47" i="22"/>
  <c r="E48" i="22"/>
  <c r="E49" i="22"/>
  <c r="E50" i="22"/>
  <c r="E51" i="22"/>
  <c r="E52" i="22"/>
  <c r="E53" i="22"/>
  <c r="E54" i="22"/>
  <c r="E55" i="22"/>
  <c r="E57" i="22"/>
  <c r="E58" i="22"/>
  <c r="E59" i="22"/>
  <c r="E90" i="20" s="1"/>
  <c r="E16" i="20"/>
  <c r="E24" i="20"/>
  <c r="E25" i="20"/>
  <c r="E91" i="20" s="1"/>
  <c r="E26" i="20"/>
  <c r="E92" i="20" s="1"/>
  <c r="E38" i="19" s="1"/>
  <c r="E30" i="18" s="1"/>
  <c r="E27" i="20"/>
  <c r="E32" i="20"/>
  <c r="E38" i="20"/>
  <c r="E49" i="20"/>
  <c r="E50" i="20"/>
  <c r="E60" i="20"/>
  <c r="E61" i="20"/>
  <c r="E62" i="20"/>
  <c r="E63" i="20"/>
  <c r="E65" i="20"/>
  <c r="E64" i="20" s="1"/>
  <c r="E66" i="20"/>
  <c r="E68" i="20"/>
  <c r="E67" i="20" s="1"/>
  <c r="E71" i="20"/>
  <c r="E28" i="19" s="1"/>
  <c r="E72" i="20"/>
  <c r="E73" i="20"/>
  <c r="E74" i="20"/>
  <c r="E77" i="20"/>
  <c r="E80" i="20"/>
  <c r="E81" i="20"/>
  <c r="E89" i="20"/>
  <c r="E8" i="20"/>
  <c r="E10" i="24" l="1"/>
  <c r="E9" i="3" s="1"/>
  <c r="E7" i="3" s="1"/>
  <c r="E89" i="14" s="1"/>
  <c r="G89" i="14" s="1"/>
  <c r="E48" i="20"/>
  <c r="E39" i="19"/>
  <c r="E58" i="18"/>
  <c r="E64" i="18" s="1"/>
  <c r="E85" i="14" s="1"/>
  <c r="E46" i="22"/>
  <c r="E39" i="20" s="1"/>
  <c r="E25" i="19"/>
  <c r="E29" i="19"/>
  <c r="E24" i="18" s="1"/>
  <c r="E36" i="19"/>
  <c r="E30" i="23"/>
  <c r="E10" i="23"/>
  <c r="E17" i="18" s="1"/>
  <c r="E8" i="18" s="1"/>
  <c r="E93" i="20"/>
  <c r="L11" i="10"/>
  <c r="F62" i="18"/>
  <c r="H14" i="10"/>
  <c r="H10" i="10"/>
  <c r="H22" i="10" s="1"/>
  <c r="E19" i="19" l="1"/>
  <c r="E29" i="18"/>
  <c r="E46" i="18"/>
  <c r="E44" i="18" s="1"/>
  <c r="D8" i="25"/>
  <c r="G8" i="25"/>
  <c r="H8" i="25"/>
  <c r="I8" i="25"/>
  <c r="J8" i="25"/>
  <c r="C8" i="25"/>
  <c r="C7" i="25" s="1"/>
  <c r="G10" i="24"/>
  <c r="H10" i="24"/>
  <c r="I10" i="24"/>
  <c r="J10" i="24"/>
  <c r="F32" i="24"/>
  <c r="D8" i="24"/>
  <c r="G8" i="24"/>
  <c r="H8" i="24"/>
  <c r="I8" i="24"/>
  <c r="J8" i="24"/>
  <c r="F8" i="23"/>
  <c r="F9" i="23"/>
  <c r="F15" i="23"/>
  <c r="F24" i="23"/>
  <c r="F25" i="23"/>
  <c r="F49" i="23"/>
  <c r="F48" i="23" s="1"/>
  <c r="F61" i="23"/>
  <c r="F62" i="23"/>
  <c r="F63" i="23"/>
  <c r="F64" i="23"/>
  <c r="F65" i="23"/>
  <c r="F66" i="23"/>
  <c r="F67" i="23"/>
  <c r="G53" i="23"/>
  <c r="G49" i="18" s="1"/>
  <c r="G44" i="18" s="1"/>
  <c r="H53" i="23"/>
  <c r="H49" i="18" s="1"/>
  <c r="I53" i="23"/>
  <c r="I49" i="18" s="1"/>
  <c r="I44" i="18" s="1"/>
  <c r="J53" i="23"/>
  <c r="J49" i="18" s="1"/>
  <c r="D51" i="23"/>
  <c r="G51" i="23"/>
  <c r="G27" i="23" s="1"/>
  <c r="H51" i="23"/>
  <c r="I51" i="23"/>
  <c r="I27" i="23" s="1"/>
  <c r="J51" i="23"/>
  <c r="J27" i="23" s="1"/>
  <c r="C51" i="23"/>
  <c r="E21" i="18" l="1"/>
  <c r="E20" i="18"/>
  <c r="E18" i="18" s="1"/>
  <c r="E34" i="18" s="1"/>
  <c r="E83" i="14" s="1"/>
  <c r="F8" i="24"/>
  <c r="H27" i="23"/>
  <c r="E8" i="24"/>
  <c r="E7" i="24" s="1"/>
  <c r="D7" i="24"/>
  <c r="I7" i="25"/>
  <c r="I11" i="21"/>
  <c r="J7" i="25"/>
  <c r="J11" i="21"/>
  <c r="G7" i="25"/>
  <c r="G11" i="21"/>
  <c r="H7" i="25"/>
  <c r="H11" i="21"/>
  <c r="E51" i="23"/>
  <c r="E27" i="23" s="1"/>
  <c r="D27" i="23"/>
  <c r="D26" i="23" s="1"/>
  <c r="J9" i="3"/>
  <c r="J7" i="3" s="1"/>
  <c r="J7" i="24"/>
  <c r="I7" i="24"/>
  <c r="I9" i="3"/>
  <c r="I7" i="3" s="1"/>
  <c r="H9" i="3"/>
  <c r="H7" i="3" s="1"/>
  <c r="H7" i="24"/>
  <c r="G9" i="3"/>
  <c r="F10" i="24"/>
  <c r="G7" i="24"/>
  <c r="F51" i="23"/>
  <c r="F30" i="23"/>
  <c r="C27" i="23"/>
  <c r="C26" i="23" s="1"/>
  <c r="G26" i="23"/>
  <c r="J26" i="23"/>
  <c r="I26" i="23"/>
  <c r="E26" i="23"/>
  <c r="H26" i="23"/>
  <c r="E8" i="25"/>
  <c r="E7" i="25" s="1"/>
  <c r="D7" i="25"/>
  <c r="F53" i="23"/>
  <c r="F8" i="25"/>
  <c r="F7" i="25" s="1"/>
  <c r="C7" i="24"/>
  <c r="F10" i="23"/>
  <c r="C83" i="22"/>
  <c r="C69" i="20" s="1"/>
  <c r="D71" i="22"/>
  <c r="C71" i="22"/>
  <c r="C58" i="20" s="1"/>
  <c r="C52" i="20" s="1"/>
  <c r="F46" i="22"/>
  <c r="E71" i="22" l="1"/>
  <c r="E58" i="20" s="1"/>
  <c r="E52" i="20" s="1"/>
  <c r="D58" i="20"/>
  <c r="D52" i="20" s="1"/>
  <c r="G7" i="3"/>
  <c r="F7" i="3" s="1"/>
  <c r="F89" i="14" s="1"/>
  <c r="F9" i="3"/>
  <c r="F7" i="24"/>
  <c r="F27" i="23"/>
  <c r="F26" i="23" s="1"/>
  <c r="F83" i="22"/>
  <c r="F45" i="18" l="1"/>
  <c r="F46" i="18"/>
  <c r="H44" i="18"/>
  <c r="J44" i="18"/>
  <c r="F47" i="18"/>
  <c r="F44" i="18" l="1"/>
  <c r="F71" i="22" l="1"/>
  <c r="D95" i="14" l="1"/>
  <c r="E95" i="14"/>
  <c r="E20" i="11" l="1"/>
  <c r="F20" i="11"/>
  <c r="E16" i="11"/>
  <c r="F16" i="11"/>
  <c r="G16" i="11"/>
  <c r="E15" i="11"/>
  <c r="F15" i="11"/>
  <c r="D15" i="11"/>
  <c r="D14" i="10" l="1"/>
  <c r="F10" i="10"/>
  <c r="F22" i="20"/>
  <c r="G58" i="18" l="1"/>
  <c r="C58" i="18"/>
  <c r="F40" i="18"/>
  <c r="F43" i="18"/>
  <c r="F48" i="18"/>
  <c r="F49" i="18"/>
  <c r="F50" i="18"/>
  <c r="G42" i="18"/>
  <c r="G41" i="18" s="1"/>
  <c r="D42" i="18"/>
  <c r="H42" i="18"/>
  <c r="I42" i="18"/>
  <c r="J42" i="18"/>
  <c r="C42" i="18"/>
  <c r="C41" i="18" s="1"/>
  <c r="G8" i="18"/>
  <c r="H8" i="18"/>
  <c r="I8" i="18"/>
  <c r="J8" i="18"/>
  <c r="F27" i="18"/>
  <c r="F28" i="18"/>
  <c r="F29" i="18"/>
  <c r="F30" i="18"/>
  <c r="F30" i="19"/>
  <c r="C27" i="19"/>
  <c r="E42" i="18" l="1"/>
  <c r="E41" i="18" s="1"/>
  <c r="D41" i="18"/>
  <c r="I41" i="18"/>
  <c r="H41" i="18"/>
  <c r="J41" i="18"/>
  <c r="F42" i="18"/>
  <c r="F8" i="18"/>
  <c r="J9" i="21"/>
  <c r="J55" i="18" s="1"/>
  <c r="G9" i="21"/>
  <c r="G55" i="18" s="1"/>
  <c r="H9" i="21"/>
  <c r="H55" i="18" s="1"/>
  <c r="I9" i="21"/>
  <c r="I55" i="18" s="1"/>
  <c r="D9" i="21"/>
  <c r="E9" i="21" s="1"/>
  <c r="F12" i="21"/>
  <c r="F11" i="21"/>
  <c r="O41" i="9"/>
  <c r="Q41" i="9"/>
  <c r="S41" i="9"/>
  <c r="M40" i="9"/>
  <c r="G41" i="9"/>
  <c r="I41" i="9"/>
  <c r="K41" i="9"/>
  <c r="E41" i="9"/>
  <c r="F14" i="10"/>
  <c r="J10" i="10"/>
  <c r="D10" i="10"/>
  <c r="C19" i="19"/>
  <c r="C76" i="14" s="1"/>
  <c r="E83" i="20"/>
  <c r="V9" i="9"/>
  <c r="N9" i="9"/>
  <c r="R9" i="9"/>
  <c r="G117" i="14"/>
  <c r="H117" i="14"/>
  <c r="I117" i="14"/>
  <c r="J117" i="14"/>
  <c r="G113" i="14"/>
  <c r="H113" i="14"/>
  <c r="I113" i="14"/>
  <c r="J113" i="14"/>
  <c r="C117" i="14"/>
  <c r="D117" i="14"/>
  <c r="E117" i="14"/>
  <c r="C113" i="14"/>
  <c r="D113" i="14"/>
  <c r="E113" i="14"/>
  <c r="F118" i="14"/>
  <c r="F119" i="14"/>
  <c r="F120" i="14"/>
  <c r="F114" i="14"/>
  <c r="F115" i="14"/>
  <c r="F116" i="14"/>
  <c r="D71" i="10"/>
  <c r="G71" i="10"/>
  <c r="J71" i="10"/>
  <c r="F105" i="14"/>
  <c r="N11" i="10"/>
  <c r="N12" i="10"/>
  <c r="N13" i="10"/>
  <c r="N15" i="10"/>
  <c r="N16" i="10"/>
  <c r="N17" i="10"/>
  <c r="D18" i="10"/>
  <c r="N20" i="10"/>
  <c r="F129" i="14"/>
  <c r="D24" i="10"/>
  <c r="D25" i="10"/>
  <c r="F18" i="10"/>
  <c r="D128" i="14"/>
  <c r="D129" i="14"/>
  <c r="D130" i="14"/>
  <c r="D126" i="14"/>
  <c r="E126" i="14"/>
  <c r="C126" i="14"/>
  <c r="F124" i="14"/>
  <c r="F125" i="14"/>
  <c r="F123" i="14"/>
  <c r="E124" i="14"/>
  <c r="E125" i="14"/>
  <c r="E123" i="14"/>
  <c r="D124" i="14"/>
  <c r="D125" i="14"/>
  <c r="D123" i="14"/>
  <c r="C123" i="14"/>
  <c r="C95" i="14"/>
  <c r="D107" i="14"/>
  <c r="D94" i="14" s="1"/>
  <c r="E107" i="14"/>
  <c r="C107" i="14"/>
  <c r="D51" i="14"/>
  <c r="D61" i="14"/>
  <c r="D62" i="14"/>
  <c r="D63" i="14"/>
  <c r="D64" i="14"/>
  <c r="D68" i="14"/>
  <c r="D69" i="14"/>
  <c r="D70" i="14"/>
  <c r="D71" i="14"/>
  <c r="E51" i="14"/>
  <c r="E61" i="14"/>
  <c r="E62" i="14"/>
  <c r="E63" i="14"/>
  <c r="E64" i="14"/>
  <c r="E68" i="14"/>
  <c r="E69" i="14"/>
  <c r="E70" i="14"/>
  <c r="E71" i="14"/>
  <c r="C51" i="14"/>
  <c r="C40" i="20"/>
  <c r="C55" i="14" s="1"/>
  <c r="C48" i="20"/>
  <c r="C56" i="14" s="1"/>
  <c r="C62" i="14"/>
  <c r="C64" i="14"/>
  <c r="C61" i="14"/>
  <c r="C63" i="14"/>
  <c r="C65" i="14"/>
  <c r="C67" i="20"/>
  <c r="C68" i="14"/>
  <c r="C69" i="14"/>
  <c r="C70" i="14"/>
  <c r="C71" i="14"/>
  <c r="D20" i="11"/>
  <c r="C7" i="3"/>
  <c r="C89" i="14" s="1"/>
  <c r="D16" i="11"/>
  <c r="C84" i="20"/>
  <c r="C86" i="20"/>
  <c r="D98" i="14"/>
  <c r="E98" i="14"/>
  <c r="F18" i="11"/>
  <c r="C36" i="18"/>
  <c r="C54" i="18"/>
  <c r="C81" i="14"/>
  <c r="C86" i="14"/>
  <c r="C82" i="14"/>
  <c r="F67" i="18"/>
  <c r="F86" i="14" s="1"/>
  <c r="F63" i="18"/>
  <c r="F59" i="18"/>
  <c r="F57" i="18"/>
  <c r="F51" i="18"/>
  <c r="H36" i="18"/>
  <c r="I36" i="18"/>
  <c r="J36" i="18"/>
  <c r="G36" i="18"/>
  <c r="D36" i="18"/>
  <c r="E36" i="18" s="1"/>
  <c r="E52" i="18" s="1"/>
  <c r="F9" i="18"/>
  <c r="F10" i="18"/>
  <c r="F11" i="18"/>
  <c r="F12" i="18"/>
  <c r="F82" i="14" s="1"/>
  <c r="F13" i="18"/>
  <c r="F14" i="18"/>
  <c r="F15" i="18"/>
  <c r="F16" i="18"/>
  <c r="F17" i="18"/>
  <c r="F23" i="18"/>
  <c r="F24" i="18"/>
  <c r="F25" i="18"/>
  <c r="F26" i="18"/>
  <c r="F31" i="18"/>
  <c r="F32" i="18"/>
  <c r="F33" i="18"/>
  <c r="F20" i="18"/>
  <c r="C36" i="19"/>
  <c r="C78" i="14" s="1"/>
  <c r="C40" i="19"/>
  <c r="C77" i="14"/>
  <c r="H40" i="19"/>
  <c r="I40" i="19"/>
  <c r="J40" i="19"/>
  <c r="G40" i="19"/>
  <c r="D40" i="19"/>
  <c r="E40" i="19" s="1"/>
  <c r="F21" i="19"/>
  <c r="F22" i="19"/>
  <c r="F23" i="19"/>
  <c r="F24" i="19"/>
  <c r="F25" i="19"/>
  <c r="F26" i="19"/>
  <c r="F29" i="19"/>
  <c r="F31" i="19"/>
  <c r="F34" i="19"/>
  <c r="F35" i="19"/>
  <c r="F37" i="19"/>
  <c r="F38" i="19"/>
  <c r="F39" i="19"/>
  <c r="F41" i="19"/>
  <c r="F42" i="19"/>
  <c r="C9" i="19"/>
  <c r="J53" i="14"/>
  <c r="J58" i="14" s="1"/>
  <c r="J67" i="14" s="1"/>
  <c r="J72" i="14" s="1"/>
  <c r="J91" i="14" s="1"/>
  <c r="D74" i="14"/>
  <c r="E74" i="14"/>
  <c r="J60" i="14"/>
  <c r="D9" i="20"/>
  <c r="H86" i="20"/>
  <c r="I86" i="20"/>
  <c r="J86" i="20"/>
  <c r="G86" i="20"/>
  <c r="D86" i="20"/>
  <c r="E86" i="20" s="1"/>
  <c r="H84" i="20"/>
  <c r="I84" i="20"/>
  <c r="J84" i="20"/>
  <c r="G84" i="20"/>
  <c r="D84" i="20"/>
  <c r="E84" i="20" s="1"/>
  <c r="F41" i="20"/>
  <c r="F42" i="20"/>
  <c r="F43" i="20"/>
  <c r="F44" i="20"/>
  <c r="F45" i="20"/>
  <c r="F46" i="20"/>
  <c r="F47" i="20"/>
  <c r="F53" i="20"/>
  <c r="F54" i="20"/>
  <c r="F55" i="20"/>
  <c r="F56" i="20"/>
  <c r="F57" i="20"/>
  <c r="F58" i="20"/>
  <c r="F61" i="20"/>
  <c r="F62" i="14" s="1"/>
  <c r="F63" i="20"/>
  <c r="F68" i="20"/>
  <c r="F69" i="20"/>
  <c r="F74" i="20"/>
  <c r="F71" i="14" s="1"/>
  <c r="G40" i="20"/>
  <c r="H40" i="20"/>
  <c r="I40" i="20"/>
  <c r="J40" i="20"/>
  <c r="F49" i="20"/>
  <c r="F50" i="20"/>
  <c r="F51" i="20"/>
  <c r="D64" i="20"/>
  <c r="F8" i="20"/>
  <c r="F51" i="14" s="1"/>
  <c r="G51" i="14" s="1"/>
  <c r="H51" i="14" s="1"/>
  <c r="I51" i="14" s="1"/>
  <c r="F60" i="20"/>
  <c r="F61" i="14" s="1"/>
  <c r="F62" i="20"/>
  <c r="F63" i="14" s="1"/>
  <c r="F65" i="20"/>
  <c r="F66" i="20"/>
  <c r="F72" i="20"/>
  <c r="F69" i="14" s="1"/>
  <c r="F73" i="20"/>
  <c r="F70" i="14" s="1"/>
  <c r="G64" i="20"/>
  <c r="H64" i="20"/>
  <c r="I64" i="20"/>
  <c r="J95" i="20"/>
  <c r="I95" i="20"/>
  <c r="H95" i="20"/>
  <c r="G95" i="20"/>
  <c r="D95" i="20"/>
  <c r="E95" i="20" s="1"/>
  <c r="C95" i="20"/>
  <c r="F90" i="20"/>
  <c r="J83" i="20"/>
  <c r="I83" i="20"/>
  <c r="H83" i="20"/>
  <c r="G83" i="20"/>
  <c r="F80" i="20"/>
  <c r="F77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5" i="20"/>
  <c r="F23" i="20"/>
  <c r="F21" i="20"/>
  <c r="F20" i="20"/>
  <c r="F14" i="20"/>
  <c r="F11" i="19"/>
  <c r="F12" i="19"/>
  <c r="F14" i="19"/>
  <c r="F15" i="19"/>
  <c r="F16" i="19"/>
  <c r="L12" i="10"/>
  <c r="L15" i="10"/>
  <c r="L16" i="10"/>
  <c r="L17" i="10"/>
  <c r="L19" i="10"/>
  <c r="L20" i="10"/>
  <c r="F13" i="19"/>
  <c r="G30" i="9"/>
  <c r="F10" i="3"/>
  <c r="F39" i="18"/>
  <c r="F38" i="18"/>
  <c r="F37" i="18"/>
  <c r="B60" i="14"/>
  <c r="F22" i="10" l="1"/>
  <c r="D127" i="14" s="1"/>
  <c r="C79" i="14"/>
  <c r="F107" i="14"/>
  <c r="E109" i="14"/>
  <c r="M71" i="10"/>
  <c r="F109" i="14" s="1"/>
  <c r="L30" i="9"/>
  <c r="E84" i="14"/>
  <c r="E65" i="18"/>
  <c r="E127" i="14"/>
  <c r="E130" i="14"/>
  <c r="C129" i="14"/>
  <c r="E129" i="14"/>
  <c r="E128" i="14"/>
  <c r="F128" i="14"/>
  <c r="C130" i="14"/>
  <c r="F100" i="14"/>
  <c r="F126" i="14"/>
  <c r="J18" i="10"/>
  <c r="J22" i="10" s="1"/>
  <c r="C66" i="14"/>
  <c r="C54" i="14"/>
  <c r="F64" i="14"/>
  <c r="C57" i="14"/>
  <c r="F74" i="14"/>
  <c r="C52" i="14"/>
  <c r="C53" i="14" s="1"/>
  <c r="D8" i="11" s="1"/>
  <c r="N10" i="10"/>
  <c r="L10" i="10"/>
  <c r="N14" i="10"/>
  <c r="L14" i="10"/>
  <c r="F19" i="20"/>
  <c r="F9" i="21"/>
  <c r="D66" i="14"/>
  <c r="D56" i="14"/>
  <c r="E56" i="14"/>
  <c r="D76" i="14"/>
  <c r="D78" i="14"/>
  <c r="E78" i="14"/>
  <c r="D65" i="14"/>
  <c r="E65" i="14"/>
  <c r="D57" i="14"/>
  <c r="D55" i="14"/>
  <c r="E40" i="20"/>
  <c r="E55" i="14" s="1"/>
  <c r="D18" i="20"/>
  <c r="E97" i="14"/>
  <c r="E103" i="14" s="1"/>
  <c r="D103" i="14"/>
  <c r="F19" i="11"/>
  <c r="E19" i="11"/>
  <c r="E18" i="11"/>
  <c r="D110" i="14"/>
  <c r="C110" i="14"/>
  <c r="C111" i="14" s="1"/>
  <c r="C94" i="14"/>
  <c r="E94" i="14"/>
  <c r="E110" i="14"/>
  <c r="M41" i="9"/>
  <c r="L24" i="10"/>
  <c r="L23" i="10"/>
  <c r="D122" i="14"/>
  <c r="D22" i="10"/>
  <c r="G78" i="20"/>
  <c r="F40" i="20"/>
  <c r="F55" i="14" s="1"/>
  <c r="F67" i="20"/>
  <c r="F64" i="20"/>
  <c r="F65" i="14" s="1"/>
  <c r="I78" i="20"/>
  <c r="D19" i="11"/>
  <c r="D18" i="11"/>
  <c r="F41" i="18"/>
  <c r="C64" i="18"/>
  <c r="C85" i="14" s="1"/>
  <c r="J52" i="18"/>
  <c r="I52" i="18"/>
  <c r="D64" i="18"/>
  <c r="D85" i="14" s="1"/>
  <c r="C52" i="18"/>
  <c r="C84" i="14" s="1"/>
  <c r="D52" i="18"/>
  <c r="D84" i="14" s="1"/>
  <c r="H52" i="18"/>
  <c r="F60" i="18"/>
  <c r="G54" i="18"/>
  <c r="G64" i="18" s="1"/>
  <c r="I54" i="18"/>
  <c r="F56" i="18"/>
  <c r="F36" i="18"/>
  <c r="F40" i="19"/>
  <c r="F36" i="19"/>
  <c r="F78" i="14" s="1"/>
  <c r="F19" i="19"/>
  <c r="F76" i="14" s="1"/>
  <c r="G76" i="14" s="1"/>
  <c r="H76" i="14" s="1"/>
  <c r="I76" i="14" s="1"/>
  <c r="C43" i="19"/>
  <c r="C78" i="20"/>
  <c r="F83" i="20"/>
  <c r="F95" i="20"/>
  <c r="H78" i="20"/>
  <c r="F48" i="20"/>
  <c r="F56" i="14" s="1"/>
  <c r="F87" i="20"/>
  <c r="F86" i="20"/>
  <c r="F117" i="14"/>
  <c r="F113" i="14"/>
  <c r="F122" i="14"/>
  <c r="E122" i="14"/>
  <c r="F52" i="20"/>
  <c r="F85" i="20"/>
  <c r="J78" i="20"/>
  <c r="D78" i="20"/>
  <c r="E78" i="20" s="1"/>
  <c r="F84" i="20"/>
  <c r="C122" i="14"/>
  <c r="C79" i="20"/>
  <c r="C18" i="20"/>
  <c r="G18" i="18"/>
  <c r="J54" i="18"/>
  <c r="D52" i="14"/>
  <c r="D53" i="14" s="1"/>
  <c r="E8" i="11" s="1"/>
  <c r="C34" i="18"/>
  <c r="N24" i="10"/>
  <c r="H54" i="18"/>
  <c r="F55" i="18"/>
  <c r="H89" i="14" l="1"/>
  <c r="D87" i="14"/>
  <c r="G78" i="14"/>
  <c r="H78" i="14" s="1"/>
  <c r="I78" i="14" s="1"/>
  <c r="C127" i="14"/>
  <c r="E76" i="14"/>
  <c r="F57" i="14"/>
  <c r="F66" i="14"/>
  <c r="E57" i="14"/>
  <c r="C59" i="20"/>
  <c r="E66" i="14"/>
  <c r="F54" i="14"/>
  <c r="G54" i="14" s="1"/>
  <c r="H54" i="14" s="1"/>
  <c r="I54" i="14" s="1"/>
  <c r="D111" i="14"/>
  <c r="G19" i="11"/>
  <c r="G18" i="11"/>
  <c r="F99" i="14"/>
  <c r="E111" i="14"/>
  <c r="L18" i="10"/>
  <c r="N18" i="10"/>
  <c r="G31" i="9"/>
  <c r="F78" i="20"/>
  <c r="D65" i="18"/>
  <c r="D68" i="18" s="1"/>
  <c r="D102" i="14" s="1"/>
  <c r="C58" i="14"/>
  <c r="C67" i="14" s="1"/>
  <c r="C72" i="14" s="1"/>
  <c r="C65" i="18"/>
  <c r="C68" i="18" s="1"/>
  <c r="C83" i="14"/>
  <c r="C87" i="14" s="1"/>
  <c r="G34" i="18"/>
  <c r="F54" i="18"/>
  <c r="I89" i="14" l="1"/>
  <c r="F127" i="14"/>
  <c r="C82" i="20"/>
  <c r="C88" i="20" s="1"/>
  <c r="E66" i="18"/>
  <c r="C102" i="14"/>
  <c r="C70" i="20"/>
  <c r="L22" i="10"/>
  <c r="N22" i="10"/>
  <c r="N21" i="10"/>
  <c r="L21" i="10"/>
  <c r="F98" i="14"/>
  <c r="F97" i="14" s="1"/>
  <c r="G20" i="11"/>
  <c r="F95" i="14"/>
  <c r="V31" i="9"/>
  <c r="C92" i="14"/>
  <c r="D11" i="11"/>
  <c r="C93" i="14"/>
  <c r="L31" i="9"/>
  <c r="Q31" i="9"/>
  <c r="D10" i="11"/>
  <c r="C91" i="14"/>
  <c r="D12" i="11"/>
  <c r="E68" i="18" l="1"/>
  <c r="E102" i="14" s="1"/>
  <c r="E81" i="14"/>
  <c r="C59" i="14"/>
  <c r="C75" i="20"/>
  <c r="F103" i="14"/>
  <c r="N25" i="10"/>
  <c r="L25" i="10"/>
  <c r="F130" i="14"/>
  <c r="AA31" i="9"/>
  <c r="G52" i="18"/>
  <c r="G65" i="18" s="1"/>
  <c r="E87" i="14" l="1"/>
  <c r="F66" i="18"/>
  <c r="F81" i="14" s="1"/>
  <c r="D14" i="11"/>
  <c r="D9" i="11"/>
  <c r="C60" i="14"/>
  <c r="C76" i="20"/>
  <c r="C17" i="19"/>
  <c r="F52" i="18"/>
  <c r="F84" i="14" s="1"/>
  <c r="G66" i="18" l="1"/>
  <c r="G68" i="18" s="1"/>
  <c r="H66" i="18" s="1"/>
  <c r="C73" i="14"/>
  <c r="E8" i="19"/>
  <c r="N19" i="10"/>
  <c r="D23" i="10"/>
  <c r="C128" i="14" l="1"/>
  <c r="N23" i="10"/>
  <c r="E37" i="20" l="1"/>
  <c r="D59" i="20"/>
  <c r="E19" i="20" l="1"/>
  <c r="D82" i="20"/>
  <c r="D88" i="20" s="1"/>
  <c r="D70" i="20"/>
  <c r="D54" i="14"/>
  <c r="D58" i="14" s="1"/>
  <c r="D67" i="14" s="1"/>
  <c r="D72" i="14" s="1"/>
  <c r="D79" i="20"/>
  <c r="E79" i="20" s="1"/>
  <c r="D75" i="20" l="1"/>
  <c r="E70" i="20"/>
  <c r="E75" i="20" s="1"/>
  <c r="E82" i="20"/>
  <c r="E88" i="20" s="1"/>
  <c r="E54" i="14"/>
  <c r="E11" i="11"/>
  <c r="E12" i="11"/>
  <c r="D92" i="14"/>
  <c r="D93" i="14"/>
  <c r="E10" i="11"/>
  <c r="D91" i="14"/>
  <c r="E76" i="20" l="1"/>
  <c r="D76" i="20"/>
  <c r="E59" i="14"/>
  <c r="D59" i="14"/>
  <c r="D10" i="19" l="1"/>
  <c r="D73" i="14"/>
  <c r="E10" i="19"/>
  <c r="E73" i="14"/>
  <c r="D60" i="14"/>
  <c r="E14" i="11"/>
  <c r="E9" i="11"/>
  <c r="F14" i="11"/>
  <c r="E60" i="14"/>
  <c r="F9" i="11"/>
  <c r="E13" i="22"/>
  <c r="E7" i="22" s="1"/>
  <c r="E17" i="20" s="1"/>
  <c r="E33" i="19" l="1"/>
  <c r="E27" i="19" s="1"/>
  <c r="E9" i="19"/>
  <c r="E17" i="19" s="1"/>
  <c r="F8" i="19" s="1"/>
  <c r="E9" i="20"/>
  <c r="E94" i="20"/>
  <c r="D33" i="19"/>
  <c r="D27" i="19" s="1"/>
  <c r="D9" i="19"/>
  <c r="D17" i="19" s="1"/>
  <c r="G8" i="19"/>
  <c r="D43" i="19" l="1"/>
  <c r="D77" i="14"/>
  <c r="D79" i="14" s="1"/>
  <c r="E43" i="19"/>
  <c r="E77" i="14"/>
  <c r="E79" i="14" s="1"/>
  <c r="E18" i="20"/>
  <c r="E59" i="20" s="1"/>
  <c r="E52" i="14"/>
  <c r="E53" i="14" s="1"/>
  <c r="J18" i="20"/>
  <c r="H18" i="20"/>
  <c r="H59" i="20" s="1"/>
  <c r="I18" i="20"/>
  <c r="F9" i="20"/>
  <c r="G18" i="20"/>
  <c r="F8" i="11" l="1"/>
  <c r="E58" i="14"/>
  <c r="E67" i="14" s="1"/>
  <c r="E72" i="14" s="1"/>
  <c r="G59" i="20"/>
  <c r="G70" i="20" s="1"/>
  <c r="J59" i="20"/>
  <c r="J70" i="20" s="1"/>
  <c r="I59" i="20"/>
  <c r="I82" i="20" s="1"/>
  <c r="I88" i="20" s="1"/>
  <c r="F18" i="20"/>
  <c r="F52" i="14"/>
  <c r="G82" i="20"/>
  <c r="H70" i="20"/>
  <c r="H82" i="20"/>
  <c r="H88" i="20" s="1"/>
  <c r="G71" i="20" l="1"/>
  <c r="G75" i="20" s="1"/>
  <c r="G76" i="20" s="1"/>
  <c r="G10" i="19" s="1"/>
  <c r="H71" i="20"/>
  <c r="H75" i="20" s="1"/>
  <c r="H76" i="20" s="1"/>
  <c r="H10" i="19" s="1"/>
  <c r="F12" i="11"/>
  <c r="E93" i="14"/>
  <c r="F11" i="11"/>
  <c r="E92" i="14"/>
  <c r="F10" i="11"/>
  <c r="E91" i="14"/>
  <c r="J82" i="20"/>
  <c r="J88" i="20" s="1"/>
  <c r="J71" i="20"/>
  <c r="J75" i="20" s="1"/>
  <c r="J76" i="20" s="1"/>
  <c r="J10" i="19" s="1"/>
  <c r="I70" i="20"/>
  <c r="G79" i="20"/>
  <c r="G28" i="19"/>
  <c r="G88" i="20"/>
  <c r="J79" i="20"/>
  <c r="F53" i="14"/>
  <c r="G52" i="14"/>
  <c r="F59" i="20"/>
  <c r="G33" i="19" l="1"/>
  <c r="G9" i="19"/>
  <c r="H9" i="19"/>
  <c r="H33" i="19"/>
  <c r="I61" i="18" s="1"/>
  <c r="I58" i="18" s="1"/>
  <c r="I64" i="18" s="1"/>
  <c r="G27" i="19"/>
  <c r="G43" i="19" s="1"/>
  <c r="F82" i="20"/>
  <c r="F88" i="20" s="1"/>
  <c r="F59" i="14" s="1"/>
  <c r="G9" i="11" s="1"/>
  <c r="J33" i="19"/>
  <c r="J9" i="19"/>
  <c r="J28" i="19"/>
  <c r="I71" i="20"/>
  <c r="I75" i="20" s="1"/>
  <c r="I76" i="20" s="1"/>
  <c r="H22" i="18"/>
  <c r="H21" i="18" s="1"/>
  <c r="F60" i="14"/>
  <c r="G59" i="14"/>
  <c r="G14" i="11"/>
  <c r="F70" i="20"/>
  <c r="G53" i="14"/>
  <c r="H52" i="14"/>
  <c r="H28" i="19"/>
  <c r="H79" i="20"/>
  <c r="F58" i="14"/>
  <c r="G8" i="11"/>
  <c r="I22" i="18" l="1"/>
  <c r="I21" i="18" s="1"/>
  <c r="H27" i="19"/>
  <c r="H43" i="19" s="1"/>
  <c r="I79" i="20"/>
  <c r="J27" i="19"/>
  <c r="J43" i="19" s="1"/>
  <c r="I28" i="19"/>
  <c r="F71" i="20"/>
  <c r="I10" i="19"/>
  <c r="F10" i="19" s="1"/>
  <c r="F104" i="14" s="1"/>
  <c r="F76" i="20"/>
  <c r="F73" i="14" s="1"/>
  <c r="G58" i="14"/>
  <c r="J22" i="18"/>
  <c r="J21" i="18" s="1"/>
  <c r="F67" i="14"/>
  <c r="F79" i="20"/>
  <c r="F68" i="14"/>
  <c r="F75" i="20"/>
  <c r="I18" i="18"/>
  <c r="I34" i="18" s="1"/>
  <c r="I65" i="18" s="1"/>
  <c r="J18" i="18"/>
  <c r="J34" i="18" s="1"/>
  <c r="F28" i="19"/>
  <c r="I52" i="14"/>
  <c r="H53" i="14"/>
  <c r="H59" i="14"/>
  <c r="G60" i="14"/>
  <c r="H58" i="14" l="1"/>
  <c r="G67" i="14"/>
  <c r="F72" i="14"/>
  <c r="G11" i="11" s="1"/>
  <c r="I53" i="14"/>
  <c r="I33" i="19"/>
  <c r="I9" i="19"/>
  <c r="G10" i="11"/>
  <c r="F91" i="14"/>
  <c r="F94" i="14"/>
  <c r="G15" i="11"/>
  <c r="F110" i="14"/>
  <c r="F22" i="18"/>
  <c r="F93" i="14"/>
  <c r="I59" i="14"/>
  <c r="H60" i="14"/>
  <c r="F9" i="19"/>
  <c r="F17" i="19" s="1"/>
  <c r="G17" i="19"/>
  <c r="H8" i="19" s="1"/>
  <c r="H17" i="19" s="1"/>
  <c r="F21" i="18"/>
  <c r="H18" i="18"/>
  <c r="I17" i="19" l="1"/>
  <c r="J8" i="19" s="1"/>
  <c r="J17" i="19" s="1"/>
  <c r="I8" i="19"/>
  <c r="G12" i="11"/>
  <c r="I58" i="14"/>
  <c r="G68" i="14"/>
  <c r="J61" i="18"/>
  <c r="J58" i="18" s="1"/>
  <c r="J64" i="18" s="1"/>
  <c r="J65" i="18" s="1"/>
  <c r="I27" i="19"/>
  <c r="I43" i="19" s="1"/>
  <c r="I60" i="14"/>
  <c r="F92" i="14"/>
  <c r="H67" i="14"/>
  <c r="F111" i="14"/>
  <c r="F33" i="19"/>
  <c r="H61" i="18"/>
  <c r="F18" i="18"/>
  <c r="H34" i="18"/>
  <c r="H68" i="14" l="1"/>
  <c r="I67" i="14"/>
  <c r="G72" i="14"/>
  <c r="F61" i="18"/>
  <c r="H58" i="18"/>
  <c r="F34" i="18"/>
  <c r="F83" i="14" s="1"/>
  <c r="F27" i="19"/>
  <c r="F77" i="14" s="1"/>
  <c r="F43" i="19"/>
  <c r="I68" i="14" l="1"/>
  <c r="H72" i="14"/>
  <c r="G73" i="14"/>
  <c r="G91" i="14"/>
  <c r="G77" i="14"/>
  <c r="F79" i="14"/>
  <c r="H64" i="18"/>
  <c r="F58" i="18"/>
  <c r="H77" i="14" l="1"/>
  <c r="G79" i="14"/>
  <c r="H91" i="14"/>
  <c r="H73" i="14"/>
  <c r="I72" i="14"/>
  <c r="F64" i="18"/>
  <c r="F85" i="14" s="1"/>
  <c r="H65" i="18"/>
  <c r="H68" i="18" s="1"/>
  <c r="I66" i="18" s="1"/>
  <c r="I68" i="18" s="1"/>
  <c r="J66" i="18" s="1"/>
  <c r="J68" i="18" s="1"/>
  <c r="I77" i="14"/>
  <c r="H79" i="14"/>
  <c r="I79" i="14" l="1"/>
  <c r="I73" i="14"/>
  <c r="I91" i="14"/>
  <c r="F87" i="14"/>
  <c r="F65" i="18"/>
  <c r="F68" i="18" s="1"/>
  <c r="F102" i="14" s="1"/>
</calcChain>
</file>

<file path=xl/sharedStrings.xml><?xml version="1.0" encoding="utf-8"?>
<sst xmlns="http://schemas.openxmlformats.org/spreadsheetml/2006/main" count="1530" uniqueCount="687">
  <si>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</si>
  <si>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</si>
  <si>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</si>
  <si>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</si>
  <si>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</si>
  <si>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</si>
  <si>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</si>
  <si>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</si>
  <si>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</si>
  <si>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</si>
  <si>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</si>
  <si>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</si>
  <si>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</si>
  <si>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</si>
  <si>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</si>
  <si>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</si>
  <si>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</si>
  <si>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</si>
  <si>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</si>
  <si>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</si>
  <si>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</si>
  <si>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</si>
  <si>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</si>
  <si>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</si>
  <si>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</si>
  <si>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</si>
  <si>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</si>
  <si>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</si>
  <si>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</si>
  <si>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</si>
  <si>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</si>
  <si>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</si>
  <si>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</si>
  <si>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</si>
  <si>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</si>
  <si>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</si>
  <si>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</si>
  <si>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</si>
  <si>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</si>
  <si>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</si>
  <si>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</si>
  <si>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</si>
  <si>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</si>
  <si>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</si>
  <si>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</si>
  <si>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</si>
  <si>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</si>
  <si>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</si>
  <si>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</si>
  <si>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</si>
  <si>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</si>
  <si>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</si>
  <si>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</si>
  <si>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</si>
  <si>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</si>
  <si>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</si>
  <si>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</si>
  <si>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</si>
  <si>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</si>
  <si>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</si>
  <si>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</si>
  <si>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</si>
  <si>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</si>
  <si>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</si>
  <si>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</si>
  <si>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</si>
  <si>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</si>
  <si>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</si>
  <si>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</si>
  <si>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</si>
  <si>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</si>
  <si>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</si>
  <si>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</si>
  <si>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</si>
  <si>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</si>
  <si>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</si>
  <si>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</si>
  <si>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</si>
  <si>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</si>
  <si>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</si>
  <si>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</si>
  <si>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</si>
  <si>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</si>
  <si>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</si>
  <si>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</si>
  <si>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</si>
  <si>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</si>
  <si>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</si>
  <si>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</si>
  <si>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</si>
  <si>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</si>
  <si>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</si>
  <si>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</si>
  <si>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</si>
  <si>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</si>
  <si>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</si>
  <si>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</si>
  <si>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</si>
  <si>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</si>
  <si>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</si>
  <si>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</si>
  <si>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</si>
  <si>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</si>
  <si>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</si>
  <si>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</si>
  <si>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</si>
  <si>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</si>
  <si>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</si>
  <si>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</si>
  <si>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</si>
  <si>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</si>
  <si>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</si>
  <si>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</si>
  <si>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</si>
  <si>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</si>
  <si>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</si>
  <si>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</si>
  <si>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</si>
  <si>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</si>
  <si>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</si>
  <si>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</si>
  <si>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</si>
  <si>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</si>
  <si>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</si>
  <si>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</si>
  <si>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</si>
  <si>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</si>
  <si>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</si>
  <si>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</si>
  <si>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</si>
  <si>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</si>
  <si>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</si>
  <si>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</si>
  <si>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</si>
  <si>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</si>
  <si>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</si>
  <si>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</si>
  <si>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</si>
  <si>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</si>
  <si>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</si>
  <si>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</si>
  <si>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</si>
  <si>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</si>
  <si>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</si>
  <si>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</si>
  <si>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</si>
  <si>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</si>
  <si>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</si>
  <si>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</si>
  <si>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</si>
  <si>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</si>
  <si>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</si>
  <si>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</si>
  <si>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</si>
  <si>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</si>
  <si>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</si>
  <si>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</si>
  <si>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</si>
  <si>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</si>
  <si>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</si>
  <si>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</si>
  <si>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</si>
  <si>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</si>
  <si>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</si>
  <si>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</si>
  <si>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</si>
  <si>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</si>
  <si>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</si>
  <si>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</si>
  <si>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</si>
  <si>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</si>
  <si>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</si>
  <si>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</si>
  <si>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</si>
  <si>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</si>
  <si>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</si>
  <si>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</si>
  <si>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</si>
  <si>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</si>
  <si>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</si>
  <si>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</si>
  <si>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</si>
  <si>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</si>
  <si>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</si>
  <si>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</si>
  <si>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</si>
  <si>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</si>
  <si>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</si>
  <si>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</si>
  <si>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</si>
  <si>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</si>
  <si>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</si>
  <si>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</si>
  <si>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</si>
  <si>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</si>
  <si>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</si>
  <si>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</si>
  <si>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</si>
  <si>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</si>
  <si>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</si>
  <si>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</si>
  <si>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</si>
  <si>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</si>
  <si>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</si>
  <si>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</si>
  <si>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</si>
  <si>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</si>
  <si>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</si>
  <si>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</si>
  <si>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</si>
  <si>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</si>
  <si>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</si>
  <si>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</si>
  <si>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</si>
  <si>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</si>
  <si>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</si>
  <si>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</si>
  <si>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</si>
  <si>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</si>
  <si>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</si>
  <si>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</si>
  <si>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</si>
  <si>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</si>
  <si>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</si>
  <si>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</si>
  <si>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</si>
  <si>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</si>
  <si>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</si>
  <si>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</si>
  <si>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</si>
  <si>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</si>
  <si>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</si>
  <si>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</si>
  <si>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</si>
  <si>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</si>
  <si>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</si>
  <si>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</si>
  <si>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</si>
  <si>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</si>
  <si>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</si>
  <si>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</si>
  <si>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</si>
  <si>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</si>
  <si>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</si>
  <si>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</si>
  <si>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</si>
  <si>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</si>
  <si>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</si>
  <si>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</si>
  <si>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</si>
  <si>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</si>
  <si>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</si>
  <si>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</si>
  <si>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</si>
  <si>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</si>
  <si>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</si>
  <si>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</si>
  <si>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</si>
  <si>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</si>
  <si>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</si>
  <si>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</si>
  <si>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</si>
  <si>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</si>
  <si>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</si>
  <si>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</si>
  <si>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</si>
  <si>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</si>
  <si>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</si>
  <si>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</si>
  <si>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</si>
  <si>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</si>
  <si>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</si>
  <si>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</si>
  <si>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</si>
  <si>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</si>
  <si>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</si>
  <si>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</si>
  <si>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</si>
  <si>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</si>
  <si>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</si>
  <si>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</si>
  <si>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</si>
  <si>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</si>
  <si>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</si>
  <si>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</si>
  <si>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</si>
  <si>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</si>
  <si>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</si>
  <si>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</si>
  <si>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</si>
  <si>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</si>
  <si>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</si>
  <si>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</si>
  <si>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</si>
  <si>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</si>
  <si>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</si>
  <si>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</si>
  <si>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</si>
  <si>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</si>
  <si>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</si>
  <si>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</si>
  <si>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</si>
  <si>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</si>
  <si>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</si>
  <si>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</si>
  <si>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</si>
  <si>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</si>
  <si>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</si>
  <si>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</si>
  <si>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</si>
  <si>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</si>
  <si>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</si>
  <si>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</si>
  <si>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</si>
  <si>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</si>
  <si>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</si>
  <si>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</si>
  <si>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</si>
  <si>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</si>
  <si>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</si>
  <si>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</si>
  <si>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</si>
  <si>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</si>
  <si>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</si>
  <si>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</si>
  <si>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</si>
  <si>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</si>
  <si>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</si>
  <si>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>тис. грн.</t>
  </si>
  <si>
    <t xml:space="preserve">у тому числі за кварталами </t>
  </si>
  <si>
    <t>(тис.грн.)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</si>
  <si>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</si>
  <si>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</si>
  <si>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</si>
  <si>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</si>
  <si>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</si>
  <si>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</si>
  <si>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</si>
  <si>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</si>
  <si>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</si>
  <si>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</si>
  <si>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</si>
  <si>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</si>
  <si>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</si>
  <si>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</si>
  <si>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</si>
  <si>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</si>
  <si>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</si>
  <si>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</si>
  <si>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</si>
  <si>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</si>
  <si>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</si>
  <si>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</si>
  <si>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</si>
  <si>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</si>
  <si>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</si>
  <si>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</si>
  <si>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</si>
  <si>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</si>
  <si>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 xml:space="preserve">(ініціали, прізвище)    </t>
  </si>
  <si>
    <t>(тис.грн)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</si>
  <si>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</si>
  <si>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</si>
  <si>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</si>
  <si>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 тому числі за основними видами діяльності  (розшифрувати)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</si>
  <si>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</si>
  <si>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</si>
  <si>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</si>
  <si>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</si>
  <si>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</si>
  <si>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</si>
  <si>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t>комунальними підприємствами, що є власністю Вінницької міської об"єднаної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</si>
  <si>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об"єднаної територіальної громади до бюджету Вінницької міської ОТГ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</si>
  <si>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</si>
  <si>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</si>
  <si>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</si>
  <si>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</si>
  <si>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</si>
  <si>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</si>
  <si>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</si>
  <si>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</si>
  <si>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</si>
  <si>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</si>
  <si>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</si>
  <si>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</si>
  <si>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</si>
  <si>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</si>
  <si>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</si>
  <si>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</si>
  <si>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</si>
  <si>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</si>
  <si>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</si>
  <si>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</si>
  <si>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Витрати на паливо (опалення)</t>
  </si>
  <si>
    <t>1048/1</t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</si>
  <si>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</si>
  <si>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</si>
  <si>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</si>
  <si>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</si>
  <si>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</si>
  <si>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</si>
  <si>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</si>
  <si>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</si>
  <si>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</si>
  <si>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</si>
  <si>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</si>
  <si>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Розшифровка до Таблиці І "Формування фінансових результатів"</t>
  </si>
  <si>
    <t>Розшифровка до Таблиці ІІІ "Рух грошових коштів (за прямим методом)"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</si>
  <si>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</si>
  <si>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</si>
  <si>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</si>
  <si>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 xml:space="preserve">Розшифровка до Таблиці IV. Капітальні інвестиції </t>
  </si>
  <si>
    <t>Розшифровка до Таблиці VІІ. Розподіл коштів, отриманих з  бюджету на поповнення Статутного капіталу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</si>
  <si>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</si>
  <si>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</si>
  <si>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Інші витрати на збут, усього, у тому числі:</t>
  </si>
  <si>
    <t>Цільове фінансуванн, усього, у тому числі:</t>
  </si>
  <si>
    <t>Інші надходження, усього, у тому числі:</t>
  </si>
  <si>
    <t>придбання (створення) основних засобів, 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</si>
  <si>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</si>
  <si>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</si>
  <si>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</si>
  <si>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</si>
  <si>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до рішення виконавчого комітету міської ради</t>
  </si>
  <si>
    <t xml:space="preserve">від ____________________№________ </t>
  </si>
  <si>
    <t>Комунальне унітарне підприємство "ЕкоВін"</t>
  </si>
  <si>
    <t>комунальна</t>
  </si>
  <si>
    <t>Гриневич П.О.</t>
  </si>
  <si>
    <t>38.11</t>
  </si>
  <si>
    <t>Інші  витрати,  усього, у тому числі:</t>
  </si>
  <si>
    <t>Інші  доходи, усього, у тому числі:</t>
  </si>
  <si>
    <t>інші податки, збори та платежі (екологічний податок)</t>
  </si>
  <si>
    <t>інші платежі (екологічний податок)</t>
  </si>
  <si>
    <t>відшкодування середньої зарплати працівнику, призваному на збори</t>
  </si>
  <si>
    <t>Прес для вторсировини</t>
  </si>
  <si>
    <t>Утилізатор термічний</t>
  </si>
  <si>
    <t>Навантажувач фронтальний</t>
  </si>
  <si>
    <t xml:space="preserve"> контейнера  (50 шт.)</t>
  </si>
  <si>
    <t>Продаж товару</t>
  </si>
  <si>
    <t>Благоустрій</t>
  </si>
  <si>
    <t>Інші види діяльності</t>
  </si>
  <si>
    <t>Комунальні послуги</t>
  </si>
  <si>
    <t>Передача майнових прав</t>
  </si>
  <si>
    <t>Робота сортувальної лінії</t>
  </si>
  <si>
    <t>позика на придбання гусеничного бульдозера</t>
  </si>
  <si>
    <t>гусеничний бульдозер</t>
  </si>
  <si>
    <t>Фінансова компанія "Муніципальні платіжні системи"</t>
  </si>
  <si>
    <t>фінансовий лізинг по сміттєвозу</t>
  </si>
  <si>
    <t>23.10.18/22.10.23</t>
  </si>
  <si>
    <t>сміттєвоз</t>
  </si>
  <si>
    <t>02.11.18/01.11.23</t>
  </si>
  <si>
    <t>позика на придбання 2 шт. сміттєвозів</t>
  </si>
  <si>
    <t>14.05.19/13.05.24</t>
  </si>
  <si>
    <t>30.09.19/29.09.24</t>
  </si>
  <si>
    <t xml:space="preserve"> 2 шт. сміттєвози</t>
  </si>
  <si>
    <t>Контейнера для збору ТПВ</t>
  </si>
  <si>
    <t xml:space="preserve"> </t>
  </si>
  <si>
    <t>фінансовий лізинг на придбання сміттєвоза</t>
  </si>
  <si>
    <t>За рік</t>
  </si>
  <si>
    <t>Основний борг, грн.</t>
  </si>
  <si>
    <t>Сума відсотків, грн.</t>
  </si>
  <si>
    <t>Всього, грн.</t>
  </si>
  <si>
    <t>2017      9</t>
  </si>
  <si>
    <t>всього 2017</t>
  </si>
  <si>
    <t>2018      1</t>
  </si>
  <si>
    <t xml:space="preserve">  </t>
  </si>
  <si>
    <t>всього 2018</t>
  </si>
  <si>
    <t>2019      1</t>
  </si>
  <si>
    <t>1 квартал</t>
  </si>
  <si>
    <t>2 квартал</t>
  </si>
  <si>
    <t>3 квартал</t>
  </si>
  <si>
    <t>4 квартал</t>
  </si>
  <si>
    <t>всього 2019</t>
  </si>
  <si>
    <t xml:space="preserve">2020      1   </t>
  </si>
  <si>
    <t>всього 2020</t>
  </si>
  <si>
    <t>2021      1</t>
  </si>
  <si>
    <t>всього 2021</t>
  </si>
  <si>
    <t>2022      1</t>
  </si>
  <si>
    <t>всього 2022</t>
  </si>
  <si>
    <t>2023     1</t>
  </si>
  <si>
    <t>всього 2023</t>
  </si>
  <si>
    <t>2024     1</t>
  </si>
  <si>
    <t>всього 2024</t>
  </si>
  <si>
    <t xml:space="preserve"> (ініціали, прізвище)    </t>
  </si>
  <si>
    <t xml:space="preserve">       П.О.Гриневич</t>
  </si>
  <si>
    <t>інструменти</t>
  </si>
  <si>
    <t>Безоплатно отримана деревина</t>
  </si>
  <si>
    <t xml:space="preserve">     (посада)</t>
  </si>
  <si>
    <t>___________________</t>
  </si>
  <si>
    <t>РОЗРАХУНОК ПОВЕРНЕННЯ КРЕДИТНИХ КОШТІВ ТА ВІДСОТКІВ</t>
  </si>
  <si>
    <t>Департамент комунального господарства та благоустрою міської ради</t>
  </si>
  <si>
    <t>комунальне підприємство</t>
  </si>
  <si>
    <t>збирання безпечних відходів</t>
  </si>
  <si>
    <t>Директор департаменту фінансів міської ради</t>
  </si>
  <si>
    <t>комунальне господарство</t>
  </si>
  <si>
    <t>Інші витрати (повернення коштів (авансів))</t>
  </si>
  <si>
    <r>
      <t xml:space="preserve">бульдозер    </t>
    </r>
    <r>
      <rPr>
        <sz val="9"/>
        <color rgb="FFC00000"/>
        <rFont val="Arial Cyr"/>
        <charset val="204"/>
      </rPr>
      <t>2750000,00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>14.05.19 5%</t>
    </r>
  </si>
  <si>
    <r>
      <rPr>
        <sz val="9"/>
        <rFont val="Arial Cyr"/>
        <charset val="204"/>
      </rPr>
      <t>кошти</t>
    </r>
    <r>
      <rPr>
        <sz val="9"/>
        <color rgb="FFC00000"/>
        <rFont val="Arial Cyr"/>
        <charset val="204"/>
      </rPr>
      <t xml:space="preserve">  2000000,00 </t>
    </r>
    <r>
      <rPr>
        <sz val="9"/>
        <rFont val="Arial Cyr"/>
        <charset val="204"/>
      </rPr>
      <t>27.08.19 7%</t>
    </r>
  </si>
  <si>
    <r>
      <t xml:space="preserve">2 сміттєвоз </t>
    </r>
    <r>
      <rPr>
        <sz val="9"/>
        <color rgb="FFC00000"/>
        <rFont val="Arial Cyr"/>
        <charset val="204"/>
      </rPr>
      <t>5520000,00</t>
    </r>
    <r>
      <rPr>
        <sz val="9"/>
        <rFont val="Arial Cyr"/>
        <charset val="204"/>
      </rPr>
      <t xml:space="preserve"> 30.09.19 5%</t>
    </r>
  </si>
  <si>
    <r>
      <rPr>
        <sz val="9"/>
        <rFont val="Arial Cyr"/>
        <charset val="204"/>
      </rPr>
      <t>кошти</t>
    </r>
    <r>
      <rPr>
        <sz val="9"/>
        <color rgb="FFC00000"/>
        <rFont val="Arial Cyr"/>
        <charset val="204"/>
      </rPr>
      <t xml:space="preserve">  2500000,00 </t>
    </r>
    <r>
      <rPr>
        <sz val="9"/>
        <rFont val="Arial Cyr"/>
        <charset val="204"/>
      </rPr>
      <t>31.03.20 2,5%</t>
    </r>
  </si>
  <si>
    <r>
      <rPr>
        <sz val="9"/>
        <rFont val="Arial Cyr"/>
        <charset val="204"/>
      </rPr>
      <t>кошти</t>
    </r>
    <r>
      <rPr>
        <sz val="9"/>
        <color rgb="FFC00000"/>
        <rFont val="Arial Cyr"/>
        <charset val="204"/>
      </rPr>
      <t xml:space="preserve">  2000000,00 </t>
    </r>
    <r>
      <rPr>
        <sz val="9"/>
        <rFont val="Arial Cyr"/>
        <charset val="204"/>
      </rPr>
      <t>26.08.20 6%</t>
    </r>
  </si>
  <si>
    <r>
      <t xml:space="preserve">лізинг сміттєвоз </t>
    </r>
    <r>
      <rPr>
        <sz val="9"/>
        <color rgb="FFC00000"/>
        <rFont val="Arial Cyr"/>
        <charset val="204"/>
      </rPr>
      <t>2117069,00</t>
    </r>
    <r>
      <rPr>
        <sz val="9"/>
        <rFont val="Arial Cyr"/>
        <charset val="204"/>
      </rPr>
      <t xml:space="preserve"> 23.10.18 18,8%</t>
    </r>
  </si>
  <si>
    <r>
      <t xml:space="preserve">лізинг сміттєвоз </t>
    </r>
    <r>
      <rPr>
        <sz val="9"/>
        <color rgb="FFC00000"/>
        <rFont val="Arial Cyr"/>
        <charset val="204"/>
      </rPr>
      <t>2680832,00</t>
    </r>
    <r>
      <rPr>
        <sz val="9"/>
        <rFont val="Arial Cyr"/>
        <charset val="204"/>
      </rPr>
      <t xml:space="preserve"> 02.11.18     18.8%</t>
    </r>
  </si>
  <si>
    <r>
      <rPr>
        <sz val="9"/>
        <rFont val="Arial Cyr"/>
        <charset val="204"/>
      </rPr>
      <t>кошти</t>
    </r>
    <r>
      <rPr>
        <sz val="9"/>
        <color rgb="FFC00000"/>
        <rFont val="Arial Cyr"/>
        <charset val="204"/>
      </rPr>
      <t xml:space="preserve">  2000000,00 </t>
    </r>
    <r>
      <rPr>
        <sz val="9"/>
        <rFont val="Arial Cyr"/>
        <charset val="204"/>
      </rPr>
      <t>7%</t>
    </r>
  </si>
  <si>
    <r>
      <t xml:space="preserve">лізинг сміттєвоз </t>
    </r>
    <r>
      <rPr>
        <sz val="9"/>
        <color rgb="FFC00000"/>
        <rFont val="Arial Cyr"/>
        <charset val="204"/>
      </rPr>
      <t>1796244,00</t>
    </r>
    <r>
      <rPr>
        <sz val="9"/>
        <rFont val="Arial Cyr"/>
        <charset val="204"/>
      </rPr>
      <t xml:space="preserve"> 26.03.20 </t>
    </r>
    <r>
      <rPr>
        <sz val="9"/>
        <color rgb="FF00B0F0"/>
        <rFont val="Arial Cyr"/>
        <charset val="204"/>
      </rPr>
      <t>18,8%</t>
    </r>
  </si>
  <si>
    <t>2024 рік</t>
  </si>
  <si>
    <t>розрахунки з підзвітними особами</t>
  </si>
  <si>
    <t>судовий збір</t>
  </si>
  <si>
    <t>штрафи, пені</t>
  </si>
  <si>
    <t>будівництво ангару для солі</t>
  </si>
  <si>
    <t>котельні</t>
  </si>
  <si>
    <t>кондиціонера</t>
  </si>
  <si>
    <t>автомобілів</t>
  </si>
  <si>
    <t>тракторів</t>
  </si>
  <si>
    <t>-</t>
  </si>
  <si>
    <t>програмне забезпечення</t>
  </si>
  <si>
    <t>26.03.20/25.03.25</t>
  </si>
  <si>
    <t xml:space="preserve">Додаток </t>
  </si>
  <si>
    <r>
      <t xml:space="preserve">Інші фінансові доходи </t>
    </r>
    <r>
      <rPr>
        <sz val="16"/>
        <rFont val="Times New Roman"/>
        <family val="1"/>
        <charset val="204"/>
      </rPr>
      <t>(розшифрувати)</t>
    </r>
  </si>
  <si>
    <t>Директор КУП</t>
  </si>
  <si>
    <t>собівартість товару</t>
  </si>
  <si>
    <t>комунальні послуги</t>
  </si>
  <si>
    <t>членські внески</t>
  </si>
  <si>
    <t>електричні вимірювання</t>
  </si>
  <si>
    <t>повірка вагів</t>
  </si>
  <si>
    <t>аварійно-рятувальне обслуговування полігону</t>
  </si>
  <si>
    <t>дератизація</t>
  </si>
  <si>
    <t xml:space="preserve">охорона полігону </t>
  </si>
  <si>
    <t>утримання приміщення</t>
  </si>
  <si>
    <t xml:space="preserve">відрядження </t>
  </si>
  <si>
    <t>транспортні послуги</t>
  </si>
  <si>
    <t>технічне обстеження полігону</t>
  </si>
  <si>
    <t>опосвідчення кисневого балону</t>
  </si>
  <si>
    <t>підписка технічного  видання</t>
  </si>
  <si>
    <t>списання простроченої кредиторської заборгованості</t>
  </si>
  <si>
    <t>реалізація інших оборотних активів</t>
  </si>
  <si>
    <t>списання дебіторської заборгованості</t>
  </si>
  <si>
    <t>штрафи, пені та донарахування податків</t>
  </si>
  <si>
    <t>собівартість реалізованих оборотних активів</t>
  </si>
  <si>
    <t>амортизація основних засобів прийнятих в господарське відання</t>
  </si>
  <si>
    <t>питна вода</t>
  </si>
  <si>
    <t>матеріальна допомога та її оподаткування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</si>
  <si>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</si>
  <si>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</si>
  <si>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</si>
  <si>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</si>
  <si>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обслуговування комп'ютерів</t>
  </si>
  <si>
    <t>нотаріальні послуги</t>
  </si>
  <si>
    <t>реєстраційні послуги</t>
  </si>
  <si>
    <t>асфальтування</t>
  </si>
  <si>
    <t>монтаж акумулятора сигналізації</t>
  </si>
  <si>
    <t>капітальне будівництво (розшифрувати)</t>
  </si>
  <si>
    <t>повернення авансів</t>
  </si>
  <si>
    <t>ІІ. Рух коштів у результаті інвестиційної діяльності</t>
  </si>
  <si>
    <t>торцовочна пила</t>
  </si>
  <si>
    <t xml:space="preserve">кондиціонер </t>
  </si>
  <si>
    <t>апарат плазменної різки</t>
  </si>
  <si>
    <t>котел</t>
  </si>
  <si>
    <t>пневмогайкокрут</t>
  </si>
  <si>
    <t>сміттєвози в фінансовий лізинг</t>
  </si>
  <si>
    <t>бульдозер</t>
  </si>
  <si>
    <t>придбання (виготовлення) інших необоротних матеріальних активів, усього, у тому числі:</t>
  </si>
  <si>
    <t>комп'ютерна програма</t>
  </si>
  <si>
    <t>комп'ютерної техніки</t>
  </si>
  <si>
    <t xml:space="preserve">  (підпис)</t>
  </si>
  <si>
    <t>стіл</t>
  </si>
  <si>
    <t xml:space="preserve"> Директор КУП</t>
  </si>
  <si>
    <t>Захоронення побутових відходів</t>
  </si>
  <si>
    <t>Придбання (виготовлення) основних засобів, у тому числі:</t>
  </si>
  <si>
    <t>Придбання (виготовлення) інших необоротних матеріальних активів, у тому числі:</t>
  </si>
  <si>
    <t xml:space="preserve">Директор КУП </t>
  </si>
  <si>
    <t xml:space="preserve">навантажувач фронтальний </t>
  </si>
  <si>
    <t>благодійна допомога</t>
  </si>
  <si>
    <r>
      <t xml:space="preserve">Суб'єкт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</si>
  <si>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навчання персоналу</t>
  </si>
  <si>
    <t>оренда основних засобів</t>
  </si>
  <si>
    <t>прибирання міста підрядними підприємствами</t>
  </si>
  <si>
    <t>медичний огляд</t>
  </si>
  <si>
    <t>технічний огляд техніки</t>
  </si>
  <si>
    <t>послуги GPS навігації</t>
  </si>
  <si>
    <t>послуги банків</t>
  </si>
  <si>
    <t>канцелярські товари та матеріали</t>
  </si>
  <si>
    <t>відсотки банку за залишками коштів на поточних рахунках</t>
  </si>
  <si>
    <t xml:space="preserve"> (підпис)</t>
  </si>
  <si>
    <t>зважування автомобілів</t>
  </si>
  <si>
    <t>страхові послуги</t>
  </si>
  <si>
    <t>технічне обслуговування техніки</t>
  </si>
  <si>
    <t>2025               1</t>
  </si>
  <si>
    <t>обстеження стану безпеки полігону</t>
  </si>
  <si>
    <t>діагностика техніки</t>
  </si>
  <si>
    <t>Вивезення твердих побутових відходів</t>
  </si>
  <si>
    <t>Технічний нагляд</t>
  </si>
  <si>
    <t xml:space="preserve">Нараховані до сплати податки та збори до Державного бюджету України (податкові платежі) </t>
  </si>
  <si>
    <t>контейнери для збору твердих побутових відходів</t>
  </si>
  <si>
    <t>Технічний нагляд (одержувачі бюджетних коштів)</t>
  </si>
  <si>
    <t>охорона адміністративного будинку</t>
  </si>
  <si>
    <t>коригування податку на додану вартість (ПДВ)</t>
  </si>
  <si>
    <t>послуги банків та Центру муніціпальних систем управління (ЦМСУ)</t>
  </si>
  <si>
    <r>
      <t xml:space="preserve">кошти </t>
    </r>
    <r>
      <rPr>
        <sz val="9"/>
        <color rgb="FFFF0000"/>
        <rFont val="Arial Cyr"/>
        <charset val="204"/>
      </rPr>
      <t>2500000,00</t>
    </r>
    <r>
      <rPr>
        <sz val="9"/>
        <rFont val="Arial Cyr"/>
        <charset val="204"/>
      </rPr>
      <t xml:space="preserve"> 30.03.21 2,5%</t>
    </r>
  </si>
  <si>
    <t>МКП "Вінницький фонд муніципальних інвестицій"</t>
  </si>
  <si>
    <r>
      <t xml:space="preserve">бульдозер </t>
    </r>
    <r>
      <rPr>
        <sz val="9"/>
        <color rgb="FFC00000"/>
        <rFont val="Arial Cyr"/>
        <charset val="204"/>
      </rPr>
      <t>2791540,00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 xml:space="preserve">16.08.17 </t>
    </r>
    <r>
      <rPr>
        <sz val="9"/>
        <color rgb="FFFF0000"/>
        <rFont val="Arial Cyr"/>
        <charset val="204"/>
      </rPr>
      <t>5%</t>
    </r>
  </si>
  <si>
    <t>Одиниця виміру</t>
  </si>
  <si>
    <t xml:space="preserve">Фінансовий план поточного 2021 року </t>
  </si>
  <si>
    <t xml:space="preserve">Очікуваний показник до кінця поточного 2021 року </t>
  </si>
  <si>
    <t xml:space="preserve">Плановий 2022 рік (усього) </t>
  </si>
  <si>
    <t>Факт минулого 2020 року</t>
  </si>
  <si>
    <t>гаража</t>
  </si>
  <si>
    <t>мийка АВТ без підігріву води (автоматизована)</t>
  </si>
  <si>
    <t>напівавтомат інверторний</t>
  </si>
  <si>
    <t>розміщення інформаційного матеріалу</t>
  </si>
  <si>
    <t>прибирання контейнерних майданчиків</t>
  </si>
  <si>
    <t>2025 рік</t>
  </si>
  <si>
    <t>електромонтажні роботи</t>
  </si>
  <si>
    <t>буріння свердловини та дослідження її води</t>
  </si>
  <si>
    <t>інформаційно-консультаційні послуги</t>
  </si>
  <si>
    <t>списання зносу після вибуття основного засобу</t>
  </si>
  <si>
    <t>страхове відшкодування</t>
  </si>
  <si>
    <t>стягнення судового збору на користь підприємства</t>
  </si>
  <si>
    <t>амортизація основних засобів прийнятих як подарунок</t>
  </si>
  <si>
    <t>списання основних засобів</t>
  </si>
  <si>
    <t>поворотна фінансова допомога</t>
  </si>
  <si>
    <t>мийка АВТ без підігріву води (автомтизована)</t>
  </si>
  <si>
    <t>розробка норм витрат палива</t>
  </si>
  <si>
    <t>дослідження норм накопичення на вивезення побутових відходів</t>
  </si>
  <si>
    <t>коригування резерву сумнівних боргів</t>
  </si>
  <si>
    <t>Вивезення великогабаритних побутових відходів</t>
  </si>
  <si>
    <t>надходження з фонду соціального страхування</t>
  </si>
  <si>
    <t>послуги екскаватора</t>
  </si>
  <si>
    <t>комп'ютери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</si>
  <si>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</si>
  <si>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21100 м.Вінниця  вул.Сабарівська, 7</t>
  </si>
  <si>
    <t xml:space="preserve">Факт
 минулого  2021 року </t>
  </si>
  <si>
    <t xml:space="preserve">Фінансовий план 
поточного 2022 року </t>
  </si>
  <si>
    <t xml:space="preserve">Очікуваний показник до кінця поточного 2022 року </t>
  </si>
  <si>
    <t xml:space="preserve">Плановий  
2023 рік </t>
  </si>
  <si>
    <t>проектна документація на землю</t>
  </si>
  <si>
    <t>відшкодування середнього заробітку мобілізованого</t>
  </si>
  <si>
    <t xml:space="preserve">Факт минулого 2021 року </t>
  </si>
  <si>
    <t xml:space="preserve">Фінансовий план поточного 2022 року </t>
  </si>
  <si>
    <t>трактор</t>
  </si>
  <si>
    <t>контейнера</t>
  </si>
  <si>
    <t xml:space="preserve">Очікуваний показник  
до кінця поточного 
2022 року </t>
  </si>
  <si>
    <t>Плановий 2023 рік до очікуваного на поточний 2022 рік, %</t>
  </si>
  <si>
    <t>Плановий 2023 рік до факту минулого 2021 року, %</t>
  </si>
  <si>
    <t>Фактичний показник за минулий 2021 рік</t>
  </si>
  <si>
    <t>Плановий показник 
поточного 2022 року</t>
  </si>
  <si>
    <t>Фактичний показник станом на 01.10.2022 року</t>
  </si>
  <si>
    <t>Заборгованість за кредитами на початок 2023 року</t>
  </si>
  <si>
    <t>Заборгованість за кредитами на кінець 2023 року</t>
  </si>
  <si>
    <t xml:space="preserve">факт
минулого 2021 року </t>
  </si>
  <si>
    <t xml:space="preserve">фінансовий план
поточного 2022 року </t>
  </si>
  <si>
    <t xml:space="preserve">плановий 2023 рік </t>
  </si>
  <si>
    <t>Плановий 2023 рік до плану поточного 
2022 року, %</t>
  </si>
  <si>
    <t>Плановий 2023 рік до факту минулого 
2021 року, %</t>
  </si>
  <si>
    <t>Заборгованість на 31.12.2022 р.</t>
  </si>
  <si>
    <t>2026 рік</t>
  </si>
  <si>
    <t>Наталія ЛУЦЕНКО</t>
  </si>
  <si>
    <t>Петро ГРИНЕВИЧ</t>
  </si>
  <si>
    <t>Цільове фінансування  (розшифрувати)</t>
  </si>
  <si>
    <t xml:space="preserve">Плановий
2023 рік </t>
  </si>
  <si>
    <t xml:space="preserve">Факт минулого
2021 року </t>
  </si>
  <si>
    <t xml:space="preserve">Фінансовий план
поточного
 2022 року </t>
  </si>
  <si>
    <t xml:space="preserve">Короткострокові зобов'язання, усього, у тому числі: </t>
  </si>
  <si>
    <t>Інші фінансові зобов'язання, усього, у тому числі:</t>
  </si>
  <si>
    <t>Довгострокові зобов'язання, усього, у тому числі:</t>
  </si>
  <si>
    <t>Плановий 2023 рік</t>
  </si>
  <si>
    <t xml:space="preserve">Плановий 2023 рік </t>
  </si>
  <si>
    <t>плановий 2023 рік</t>
  </si>
  <si>
    <t>екологічний податок</t>
  </si>
  <si>
    <t>пільгова пенсія за шкідливі умови праці</t>
  </si>
  <si>
    <t>інші доходи (дохід від амортизації основних засобів прийнятих у господарське відання)</t>
  </si>
  <si>
    <t xml:space="preserve">порука директора </t>
  </si>
  <si>
    <t>29.12.22/28.02.23</t>
  </si>
  <si>
    <t>позика на вирішення фінансово-господарських питань</t>
  </si>
  <si>
    <t>відновлювальна кредитна лінія для вирішення фінансово-господарських питань</t>
  </si>
  <si>
    <t xml:space="preserve">за минулий 2021 рік </t>
  </si>
  <si>
    <t xml:space="preserve">за плановий 2023 рік </t>
  </si>
  <si>
    <t>сміттєвози (4 шт.)</t>
  </si>
  <si>
    <t>Добавлена амортизація на придбані сміттєвози із розрахунку 15 років строк корисного використання</t>
  </si>
  <si>
    <t>УТОЧНЕНИЙ ФІНАНСОВИЙ ПЛАН  КУП "ЕкоВін"
на 2023 рік</t>
  </si>
  <si>
    <t>Вінницька</t>
  </si>
  <si>
    <t>Заступник директора департаменту комунального господарства та благоустрою міської ради</t>
  </si>
  <si>
    <t>Юрій КОВАЛЬЧУК</t>
  </si>
  <si>
    <t>до уточненого фінансового плану на 2023 рік</t>
  </si>
  <si>
    <t>Директор департаменту економіки і інвестицій міської ради</t>
  </si>
  <si>
    <t>Максим МАРТЬЯНОВ</t>
  </si>
  <si>
    <t>сміттєвози  (4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</si>
</sst>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₽_-;\-* #,##0.00\ _₽_-;_-* &quot;-&quot;??\ _₽_-;_-@_-"/>
    <numFmt numFmtId="168" formatCode="_-* #,##0.00_₴_-;\-* #,##0.00_₴_-;_-* &quot;-&quot;??_₴_-;_-@_-"/>
    <numFmt numFmtId="169" formatCode="_-* #,##0.00\ _г_р_н_._-;\-* #,##0.00\ _г_р_н_._-;_-* &quot;-&quot;??\ _г_р_н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_(* #,##0.0_);_(* \(#,##0.0\);_(* &quot;-&quot;_);_(@_)"/>
    <numFmt numFmtId="181" formatCode="_-* #,##0\ _₽_-;\-* #,##0\ _₽_-;_-* &quot;-&quot;??\ _₽_-;_-@_-"/>
  </numFmts>
  <fonts count="11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u/>
      <sz val="12"/>
      <name val="Times New Roman"/>
      <family val="1"/>
      <charset val="204"/>
    </font>
    <font>
      <sz val="8"/>
      <color theme="3" tint="0.39997558519241921"/>
      <name val="Arial Cyr"/>
      <charset val="204"/>
    </font>
    <font>
      <sz val="8"/>
      <color rgb="FF00B050"/>
      <name val="Arial Cyr"/>
      <charset val="204"/>
    </font>
    <font>
      <sz val="8"/>
      <name val="Calibri"/>
      <family val="2"/>
      <scheme val="minor"/>
    </font>
    <font>
      <sz val="8"/>
      <color rgb="FFFF0000"/>
      <name val="Arial Cyr"/>
      <charset val="204"/>
    </font>
    <font>
      <b/>
      <sz val="8"/>
      <color rgb="FF00B050"/>
      <name val="Arial Cyr"/>
      <charset val="204"/>
    </font>
    <font>
      <b/>
      <sz val="8"/>
      <name val="Arial Cyr"/>
      <charset val="204"/>
    </font>
    <font>
      <b/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theme="1"/>
      <name val="Arial Cyr"/>
      <charset val="204"/>
    </font>
    <font>
      <sz val="9"/>
      <name val="Arial Cyr"/>
      <charset val="204"/>
    </font>
    <font>
      <sz val="9"/>
      <color rgb="FFC00000"/>
      <name val="Arial Cyr"/>
      <charset val="204"/>
    </font>
    <font>
      <sz val="9"/>
      <color rgb="FFFF0000"/>
      <name val="Arial Cyr"/>
      <charset val="204"/>
    </font>
    <font>
      <sz val="9"/>
      <color rgb="FF00B0F0"/>
      <name val="Arial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6"/>
      <name val="Arial Cyr"/>
      <charset val="204"/>
    </font>
    <font>
      <sz val="16"/>
      <color theme="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u/>
      <sz val="15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9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2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3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7" fontId="65" fillId="22" borderId="12" applyFill="0" applyBorder="0">
      <alignment horizontal="center" vertical="center" wrapText="1"/>
      <protection locked="0"/>
    </xf>
    <xf numFmtId="172" fontId="66" fillId="0" borderId="0">
      <alignment wrapText="1"/>
    </xf>
    <xf numFmtId="172" fontId="33" fillId="0" borderId="0">
      <alignment wrapText="1"/>
    </xf>
    <xf numFmtId="167" fontId="2" fillId="0" borderId="0" applyFont="0" applyFill="0" applyBorder="0" applyAlignment="0" applyProtection="0"/>
  </cellStyleXfs>
  <cellXfs count="784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29" borderId="3" xfId="0" applyNumberFormat="1" applyFont="1" applyFill="1" applyBorder="1" applyAlignment="1">
      <alignment horizontal="center" vertical="center" wrapText="1"/>
    </xf>
    <xf numFmtId="3" fontId="5" fillId="29" borderId="0" xfId="0" applyNumberFormat="1" applyFont="1" applyFill="1" applyBorder="1" applyAlignment="1">
      <alignment vertical="center"/>
    </xf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0" fontId="5" fillId="29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center" vertical="center"/>
    </xf>
    <xf numFmtId="0" fontId="69" fillId="29" borderId="0" xfId="0" applyFont="1" applyFill="1" applyAlignment="1">
      <alignment vertical="center"/>
    </xf>
    <xf numFmtId="0" fontId="69" fillId="29" borderId="13" xfId="0" applyFont="1" applyFill="1" applyBorder="1" applyAlignment="1">
      <alignment horizontal="center" vertical="center"/>
    </xf>
    <xf numFmtId="0" fontId="69" fillId="29" borderId="13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 wrapText="1"/>
    </xf>
    <xf numFmtId="0" fontId="74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vertical="center"/>
    </xf>
    <xf numFmtId="0" fontId="74" fillId="29" borderId="0" xfId="0" quotePrefix="1" applyFont="1" applyFill="1" applyBorder="1" applyAlignment="1">
      <alignment horizontal="center"/>
    </xf>
    <xf numFmtId="170" fontId="74" fillId="29" borderId="0" xfId="0" applyNumberFormat="1" applyFont="1" applyFill="1" applyBorder="1" applyAlignment="1">
      <alignment horizontal="center" vertical="center" wrapText="1"/>
    </xf>
    <xf numFmtId="170" fontId="74" fillId="29" borderId="0" xfId="0" applyNumberFormat="1" applyFont="1" applyFill="1" applyBorder="1" applyAlignment="1">
      <alignment horizontal="right" vertical="center" wrapText="1"/>
    </xf>
    <xf numFmtId="170" fontId="74" fillId="29" borderId="0" xfId="0" applyNumberFormat="1" applyFont="1" applyFill="1" applyBorder="1" applyAlignment="1">
      <alignment horizontal="right" vertical="center"/>
    </xf>
    <xf numFmtId="3" fontId="69" fillId="29" borderId="0" xfId="0" applyNumberFormat="1" applyFont="1" applyFill="1" applyBorder="1" applyAlignment="1">
      <alignment vertical="center"/>
    </xf>
    <xf numFmtId="0" fontId="74" fillId="29" borderId="0" xfId="0" applyFont="1" applyFill="1" applyBorder="1" applyAlignment="1">
      <alignment horizontal="right" vertical="center"/>
    </xf>
    <xf numFmtId="3" fontId="69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right" vertical="center"/>
    </xf>
    <xf numFmtId="0" fontId="74" fillId="29" borderId="0" xfId="0" applyFont="1" applyFill="1" applyBorder="1" applyAlignment="1">
      <alignment horizontal="left" vertical="center"/>
    </xf>
    <xf numFmtId="0" fontId="74" fillId="29" borderId="13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center" vertical="center" wrapText="1" shrinkToFit="1"/>
    </xf>
    <xf numFmtId="171" fontId="74" fillId="29" borderId="0" xfId="0" applyNumberFormat="1" applyFont="1" applyFill="1" applyBorder="1" applyAlignment="1">
      <alignment horizontal="center" vertical="center" wrapText="1"/>
    </xf>
    <xf numFmtId="171" fontId="74" fillId="29" borderId="0" xfId="0" applyNumberFormat="1" applyFont="1" applyFill="1" applyBorder="1" applyAlignment="1">
      <alignment horizontal="center" vertical="center"/>
    </xf>
    <xf numFmtId="3" fontId="69" fillId="29" borderId="3" xfId="0" applyNumberFormat="1" applyFont="1" applyFill="1" applyBorder="1" applyAlignment="1">
      <alignment horizontal="center" vertical="center" wrapText="1" shrinkToFit="1"/>
    </xf>
    <xf numFmtId="0" fontId="69" fillId="29" borderId="3" xfId="0" applyFont="1" applyFill="1" applyBorder="1" applyAlignment="1">
      <alignment horizontal="left" vertical="center" wrapText="1" shrinkToFit="1"/>
    </xf>
    <xf numFmtId="170" fontId="69" fillId="29" borderId="0" xfId="0" applyNumberFormat="1" applyFont="1" applyFill="1" applyBorder="1" applyAlignment="1">
      <alignment horizontal="center" vertical="center" wrapText="1"/>
    </xf>
    <xf numFmtId="3" fontId="69" fillId="29" borderId="3" xfId="0" applyNumberFormat="1" applyFont="1" applyFill="1" applyBorder="1" applyAlignment="1">
      <alignment horizontal="left" vertical="center" wrapText="1"/>
    </xf>
    <xf numFmtId="0" fontId="69" fillId="29" borderId="0" xfId="0" applyFont="1" applyFill="1" applyAlignment="1">
      <alignment vertical="center" wrapText="1" shrinkToFit="1"/>
    </xf>
    <xf numFmtId="0" fontId="69" fillId="29" borderId="0" xfId="0" applyFont="1" applyFill="1" applyBorder="1" applyAlignment="1">
      <alignment vertical="center" wrapText="1" shrinkToFit="1"/>
    </xf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0" fontId="5" fillId="29" borderId="3" xfId="237" applyNumberFormat="1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horizontal="left" vertical="center" wrapText="1"/>
    </xf>
    <xf numFmtId="9" fontId="0" fillId="0" borderId="28" xfId="0" applyNumberFormat="1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174" fontId="5" fillId="29" borderId="3" xfId="0" applyNumberFormat="1" applyFont="1" applyFill="1" applyBorder="1" applyAlignment="1">
      <alignment horizontal="center" vertical="center" wrapText="1"/>
    </xf>
    <xf numFmtId="174" fontId="4" fillId="29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80" fillId="29" borderId="13" xfId="0" applyFont="1" applyFill="1" applyBorder="1" applyAlignment="1"/>
    <xf numFmtId="0" fontId="80" fillId="29" borderId="0" xfId="0" applyFont="1" applyFill="1" applyBorder="1" applyAlignment="1"/>
    <xf numFmtId="0" fontId="3" fillId="0" borderId="40" xfId="0" applyFont="1" applyBorder="1" applyAlignment="1">
      <alignment horizontal="center" vertical="center" wrapText="1"/>
    </xf>
    <xf numFmtId="4" fontId="83" fillId="0" borderId="28" xfId="0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4" fillId="0" borderId="41" xfId="0" applyFont="1" applyFill="1" applyBorder="1"/>
    <xf numFmtId="4" fontId="3" fillId="0" borderId="25" xfId="0" applyNumberFormat="1" applyFont="1" applyFill="1" applyBorder="1"/>
    <xf numFmtId="4" fontId="85" fillId="0" borderId="19" xfId="0" applyNumberFormat="1" applyFont="1" applyBorder="1"/>
    <xf numFmtId="4" fontId="3" fillId="0" borderId="21" xfId="0" applyNumberFormat="1" applyFont="1" applyBorder="1"/>
    <xf numFmtId="2" fontId="3" fillId="0" borderId="19" xfId="0" applyNumberFormat="1" applyFont="1" applyBorder="1"/>
    <xf numFmtId="2" fontId="3" fillId="0" borderId="21" xfId="0" applyNumberFormat="1" applyFont="1" applyBorder="1"/>
    <xf numFmtId="2" fontId="3" fillId="0" borderId="42" xfId="0" applyNumberFormat="1" applyFont="1" applyBorder="1"/>
    <xf numFmtId="2" fontId="3" fillId="0" borderId="43" xfId="0" applyNumberFormat="1" applyFont="1" applyBorder="1"/>
    <xf numFmtId="4" fontId="3" fillId="0" borderId="19" xfId="0" applyNumberFormat="1" applyFont="1" applyFill="1" applyBorder="1"/>
    <xf numFmtId="2" fontId="85" fillId="0" borderId="19" xfId="0" applyNumberFormat="1" applyFont="1" applyBorder="1"/>
    <xf numFmtId="2" fontId="3" fillId="0" borderId="25" xfId="0" applyNumberFormat="1" applyFont="1" applyBorder="1"/>
    <xf numFmtId="0" fontId="3" fillId="0" borderId="0" xfId="0" applyFont="1"/>
    <xf numFmtId="0" fontId="84" fillId="0" borderId="44" xfId="0" applyFont="1" applyBorder="1"/>
    <xf numFmtId="4" fontId="3" fillId="0" borderId="16" xfId="0" applyNumberFormat="1" applyFont="1" applyFill="1" applyBorder="1"/>
    <xf numFmtId="4" fontId="85" fillId="0" borderId="3" xfId="0" applyNumberFormat="1" applyFont="1" applyBorder="1"/>
    <xf numFmtId="4" fontId="3" fillId="0" borderId="15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2" fontId="3" fillId="0" borderId="45" xfId="0" applyNumberFormat="1" applyFont="1" applyBorder="1"/>
    <xf numFmtId="2" fontId="3" fillId="0" borderId="12" xfId="0" applyNumberFormat="1" applyFont="1" applyBorder="1"/>
    <xf numFmtId="4" fontId="3" fillId="0" borderId="3" xfId="0" applyNumberFormat="1" applyFont="1" applyFill="1" applyBorder="1"/>
    <xf numFmtId="2" fontId="85" fillId="0" borderId="3" xfId="0" applyNumberFormat="1" applyFont="1" applyBorder="1"/>
    <xf numFmtId="2" fontId="3" fillId="0" borderId="16" xfId="0" applyNumberFormat="1" applyFont="1" applyBorder="1"/>
    <xf numFmtId="0" fontId="86" fillId="0" borderId="46" xfId="0" applyFont="1" applyBorder="1"/>
    <xf numFmtId="4" fontId="86" fillId="0" borderId="16" xfId="0" applyNumberFormat="1" applyFont="1" applyFill="1" applyBorder="1"/>
    <xf numFmtId="4" fontId="86" fillId="0" borderId="17" xfId="0" applyNumberFormat="1" applyFont="1" applyBorder="1"/>
    <xf numFmtId="4" fontId="86" fillId="0" borderId="18" xfId="0" applyNumberFormat="1" applyFont="1" applyBorder="1"/>
    <xf numFmtId="4" fontId="86" fillId="0" borderId="22" xfId="0" applyNumberFormat="1" applyFont="1" applyBorder="1"/>
    <xf numFmtId="2" fontId="86" fillId="0" borderId="18" xfId="0" applyNumberFormat="1" applyFont="1" applyBorder="1"/>
    <xf numFmtId="2" fontId="86" fillId="0" borderId="15" xfId="0" applyNumberFormat="1" applyFont="1" applyBorder="1"/>
    <xf numFmtId="2" fontId="86" fillId="0" borderId="47" xfId="0" applyNumberFormat="1" applyFont="1" applyBorder="1"/>
    <xf numFmtId="2" fontId="86" fillId="0" borderId="12" xfId="0" applyNumberFormat="1" applyFont="1" applyBorder="1"/>
    <xf numFmtId="2" fontId="86" fillId="0" borderId="22" xfId="0" applyNumberFormat="1" applyFont="1" applyBorder="1"/>
    <xf numFmtId="2" fontId="86" fillId="0" borderId="45" xfId="0" applyNumberFormat="1" applyFont="1" applyBorder="1"/>
    <xf numFmtId="2" fontId="86" fillId="0" borderId="3" xfId="0" applyNumberFormat="1" applyFont="1" applyBorder="1"/>
    <xf numFmtId="2" fontId="86" fillId="0" borderId="16" xfId="0" applyNumberFormat="1" applyFont="1" applyBorder="1"/>
    <xf numFmtId="2" fontId="84" fillId="0" borderId="0" xfId="0" applyNumberFormat="1" applyFont="1"/>
    <xf numFmtId="2" fontId="3" fillId="0" borderId="22" xfId="0" applyNumberFormat="1" applyFont="1" applyBorder="1"/>
    <xf numFmtId="0" fontId="87" fillId="0" borderId="44" xfId="0" applyFont="1" applyBorder="1"/>
    <xf numFmtId="2" fontId="88" fillId="0" borderId="16" xfId="0" applyNumberFormat="1" applyFont="1" applyBorder="1"/>
    <xf numFmtId="2" fontId="88" fillId="0" borderId="3" xfId="0" applyNumberFormat="1" applyFont="1" applyBorder="1"/>
    <xf numFmtId="2" fontId="88" fillId="0" borderId="15" xfId="0" applyNumberFormat="1" applyFont="1" applyBorder="1"/>
    <xf numFmtId="2" fontId="88" fillId="0" borderId="45" xfId="0" applyNumberFormat="1" applyFont="1" applyBorder="1"/>
    <xf numFmtId="2" fontId="88" fillId="0" borderId="12" xfId="0" applyNumberFormat="1" applyFont="1" applyBorder="1"/>
    <xf numFmtId="2" fontId="87" fillId="0" borderId="0" xfId="0" applyNumberFormat="1" applyFont="1"/>
    <xf numFmtId="2" fontId="87" fillId="30" borderId="0" xfId="0" applyNumberFormat="1" applyFont="1" applyFill="1"/>
    <xf numFmtId="4" fontId="3" fillId="0" borderId="45" xfId="0" applyNumberFormat="1" applyFont="1" applyFill="1" applyBorder="1"/>
    <xf numFmtId="4" fontId="3" fillId="0" borderId="45" xfId="0" applyNumberFormat="1" applyFont="1" applyBorder="1"/>
    <xf numFmtId="4" fontId="3" fillId="0" borderId="3" xfId="0" applyNumberFormat="1" applyFont="1" applyBorder="1"/>
    <xf numFmtId="4" fontId="3" fillId="0" borderId="12" xfId="0" applyNumberFormat="1" applyFont="1" applyBorder="1"/>
    <xf numFmtId="4" fontId="3" fillId="0" borderId="16" xfId="0" applyNumberFormat="1" applyFont="1" applyBorder="1"/>
    <xf numFmtId="2" fontId="89" fillId="0" borderId="3" xfId="0" applyNumberFormat="1" applyFont="1" applyBorder="1"/>
    <xf numFmtId="4" fontId="88" fillId="0" borderId="12" xfId="0" applyNumberFormat="1" applyFont="1" applyBorder="1"/>
    <xf numFmtId="4" fontId="3" fillId="0" borderId="18" xfId="0" applyNumberFormat="1" applyFont="1" applyBorder="1"/>
    <xf numFmtId="4" fontId="3" fillId="0" borderId="14" xfId="0" applyNumberFormat="1" applyFont="1" applyBorder="1"/>
    <xf numFmtId="4" fontId="90" fillId="0" borderId="3" xfId="0" applyNumberFormat="1" applyFont="1" applyBorder="1"/>
    <xf numFmtId="2" fontId="3" fillId="0" borderId="14" xfId="0" applyNumberFormat="1" applyFont="1" applyBorder="1"/>
    <xf numFmtId="4" fontId="91" fillId="0" borderId="3" xfId="0" applyNumberFormat="1" applyFont="1" applyBorder="1"/>
    <xf numFmtId="4" fontId="88" fillId="0" borderId="14" xfId="0" applyNumberFormat="1" applyFont="1" applyBorder="1"/>
    <xf numFmtId="0" fontId="86" fillId="0" borderId="44" xfId="0" applyFont="1" applyBorder="1"/>
    <xf numFmtId="4" fontId="86" fillId="0" borderId="12" xfId="0" applyNumberFormat="1" applyFont="1" applyBorder="1"/>
    <xf numFmtId="2" fontId="86" fillId="0" borderId="14" xfId="0" applyNumberFormat="1" applyFont="1" applyBorder="1"/>
    <xf numFmtId="4" fontId="92" fillId="0" borderId="3" xfId="0" applyNumberFormat="1" applyFont="1" applyBorder="1"/>
    <xf numFmtId="4" fontId="86" fillId="0" borderId="14" xfId="0" applyNumberFormat="1" applyFont="1" applyBorder="1"/>
    <xf numFmtId="0" fontId="3" fillId="0" borderId="3" xfId="0" applyFont="1" applyBorder="1"/>
    <xf numFmtId="0" fontId="3" fillId="0" borderId="15" xfId="0" applyFont="1" applyBorder="1"/>
    <xf numFmtId="2" fontId="93" fillId="0" borderId="3" xfId="0" applyNumberFormat="1" applyFont="1" applyBorder="1"/>
    <xf numFmtId="0" fontId="86" fillId="0" borderId="3" xfId="0" applyFont="1" applyBorder="1"/>
    <xf numFmtId="0" fontId="3" fillId="0" borderId="16" xfId="0" applyFont="1" applyBorder="1"/>
    <xf numFmtId="4" fontId="85" fillId="0" borderId="3" xfId="0" applyNumberFormat="1" applyFont="1" applyFill="1" applyBorder="1"/>
    <xf numFmtId="4" fontId="86" fillId="0" borderId="45" xfId="0" applyNumberFormat="1" applyFont="1" applyBorder="1"/>
    <xf numFmtId="4" fontId="86" fillId="0" borderId="3" xfId="0" applyNumberFormat="1" applyFont="1" applyBorder="1"/>
    <xf numFmtId="4" fontId="86" fillId="0" borderId="15" xfId="0" applyNumberFormat="1" applyFont="1" applyBorder="1"/>
    <xf numFmtId="0" fontId="3" fillId="0" borderId="45" xfId="0" applyFont="1" applyBorder="1"/>
    <xf numFmtId="0" fontId="3" fillId="0" borderId="12" xfId="0" applyFont="1" applyBorder="1"/>
    <xf numFmtId="4" fontId="86" fillId="0" borderId="16" xfId="0" applyNumberFormat="1" applyFont="1" applyBorder="1"/>
    <xf numFmtId="0" fontId="84" fillId="0" borderId="3" xfId="0" applyFont="1" applyFill="1" applyBorder="1"/>
    <xf numFmtId="2" fontId="3" fillId="0" borderId="13" xfId="0" applyNumberFormat="1" applyFont="1" applyBorder="1"/>
    <xf numFmtId="2" fontId="86" fillId="0" borderId="20" xfId="0" applyNumberFormat="1" applyFont="1" applyBorder="1"/>
    <xf numFmtId="2" fontId="3" fillId="0" borderId="20" xfId="0" applyNumberFormat="1" applyFont="1" applyBorder="1"/>
    <xf numFmtId="2" fontId="88" fillId="0" borderId="14" xfId="0" applyNumberFormat="1" applyFont="1" applyBorder="1"/>
    <xf numFmtId="171" fontId="80" fillId="29" borderId="0" xfId="0" quotePrefix="1" applyNumberFormat="1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9" fillId="29" borderId="3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2" fontId="87" fillId="29" borderId="0" xfId="0" applyNumberFormat="1" applyFont="1" applyFill="1"/>
    <xf numFmtId="0" fontId="76" fillId="29" borderId="0" xfId="0" applyFont="1" applyFill="1" applyBorder="1" applyAlignment="1">
      <alignment horizontal="center" wrapText="1"/>
    </xf>
    <xf numFmtId="171" fontId="67" fillId="29" borderId="0" xfId="0" applyNumberFormat="1" applyFont="1" applyFill="1" applyBorder="1" applyAlignment="1"/>
    <xf numFmtId="0" fontId="74" fillId="29" borderId="0" xfId="0" applyFont="1" applyFill="1" applyBorder="1" applyAlignment="1"/>
    <xf numFmtId="0" fontId="74" fillId="0" borderId="0" xfId="0" applyFont="1" applyFill="1" applyBorder="1" applyAlignment="1"/>
    <xf numFmtId="0" fontId="5" fillId="29" borderId="0" xfId="0" applyFont="1" applyFill="1" applyBorder="1" applyAlignment="1">
      <alignment horizontal="center" vertical="top"/>
    </xf>
    <xf numFmtId="0" fontId="5" fillId="29" borderId="0" xfId="0" applyFont="1" applyFill="1" applyBorder="1" applyAlignment="1">
      <alignment vertical="top"/>
    </xf>
    <xf numFmtId="0" fontId="5" fillId="29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78" fillId="29" borderId="0" xfId="0" applyFont="1" applyFill="1" applyBorder="1" applyAlignment="1">
      <alignment horizontal="center" wrapText="1"/>
    </xf>
    <xf numFmtId="0" fontId="80" fillId="29" borderId="0" xfId="0" applyFont="1" applyFill="1" applyBorder="1" applyAlignment="1">
      <alignment horizontal="center" vertical="top"/>
    </xf>
    <xf numFmtId="0" fontId="80" fillId="29" borderId="0" xfId="0" applyFont="1" applyFill="1" applyBorder="1" applyAlignment="1">
      <alignment vertical="top"/>
    </xf>
    <xf numFmtId="0" fontId="80" fillId="0" borderId="0" xfId="0" applyFont="1" applyFill="1" applyBorder="1" applyAlignment="1">
      <alignment vertical="top"/>
    </xf>
    <xf numFmtId="0" fontId="80" fillId="29" borderId="0" xfId="0" applyFont="1" applyFill="1" applyAlignment="1">
      <alignment horizontal="left" vertical="top"/>
    </xf>
    <xf numFmtId="0" fontId="5" fillId="29" borderId="0" xfId="0" quotePrefix="1" applyFont="1" applyFill="1" applyBorder="1" applyAlignment="1">
      <alignment horizontal="center"/>
    </xf>
    <xf numFmtId="0" fontId="74" fillId="29" borderId="0" xfId="0" applyFont="1" applyFill="1" applyAlignment="1"/>
    <xf numFmtId="0" fontId="6" fillId="29" borderId="0" xfId="0" applyFont="1" applyFill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4" fillId="29" borderId="3" xfId="0" quotePrefix="1" applyNumberFormat="1" applyFont="1" applyFill="1" applyBorder="1" applyAlignment="1">
      <alignment horizontal="center" vertical="center" wrapText="1"/>
    </xf>
    <xf numFmtId="171" fontId="6" fillId="29" borderId="0" xfId="0" applyNumberFormat="1" applyFont="1" applyFill="1" applyBorder="1" applyAlignment="1"/>
    <xf numFmtId="0" fontId="5" fillId="0" borderId="0" xfId="0" applyFont="1" applyAlignment="1"/>
    <xf numFmtId="0" fontId="80" fillId="0" borderId="0" xfId="0" applyFont="1" applyAlignment="1">
      <alignment vertical="top"/>
    </xf>
    <xf numFmtId="0" fontId="0" fillId="0" borderId="0" xfId="0" applyAlignment="1">
      <alignment horizontal="center"/>
    </xf>
    <xf numFmtId="0" fontId="86" fillId="0" borderId="0" xfId="0" applyFont="1" applyBorder="1"/>
    <xf numFmtId="0" fontId="3" fillId="0" borderId="0" xfId="0" applyFont="1" applyBorder="1"/>
    <xf numFmtId="4" fontId="86" fillId="0" borderId="0" xfId="0" applyNumberFormat="1" applyFont="1" applyBorder="1"/>
    <xf numFmtId="4" fontId="3" fillId="0" borderId="20" xfId="0" applyNumberFormat="1" applyFont="1" applyBorder="1"/>
    <xf numFmtId="4" fontId="3" fillId="0" borderId="0" xfId="0" applyNumberFormat="1" applyFont="1" applyBorder="1"/>
    <xf numFmtId="0" fontId="84" fillId="0" borderId="0" xfId="0" applyFont="1" applyBorder="1"/>
    <xf numFmtId="0" fontId="3" fillId="0" borderId="14" xfId="0" applyFont="1" applyBorder="1"/>
    <xf numFmtId="4" fontId="91" fillId="0" borderId="16" xfId="0" applyNumberFormat="1" applyFont="1" applyBorder="1"/>
    <xf numFmtId="4" fontId="3" fillId="0" borderId="13" xfId="0" applyNumberFormat="1" applyFont="1" applyBorder="1"/>
    <xf numFmtId="4" fontId="88" fillId="0" borderId="45" xfId="0" applyNumberFormat="1" applyFont="1" applyFill="1" applyBorder="1"/>
    <xf numFmtId="4" fontId="88" fillId="0" borderId="45" xfId="0" applyNumberFormat="1" applyFont="1" applyBorder="1"/>
    <xf numFmtId="4" fontId="88" fillId="0" borderId="0" xfId="0" applyNumberFormat="1" applyFont="1" applyBorder="1"/>
    <xf numFmtId="0" fontId="69" fillId="29" borderId="0" xfId="0" applyFont="1" applyFill="1" applyBorder="1" applyAlignment="1">
      <alignment horizontal="left" vertical="center"/>
    </xf>
    <xf numFmtId="0" fontId="69" fillId="29" borderId="0" xfId="0" applyFont="1" applyFill="1" applyBorder="1" applyAlignment="1">
      <alignment horizontal="center" vertical="center"/>
    </xf>
    <xf numFmtId="0" fontId="70" fillId="29" borderId="0" xfId="0" applyFont="1" applyFill="1" applyAlignment="1">
      <alignment vertical="center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80" fillId="29" borderId="0" xfId="0" applyFont="1" applyFill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center" vertical="center"/>
    </xf>
    <xf numFmtId="0" fontId="74" fillId="29" borderId="0" xfId="0" applyFont="1" applyFill="1" applyBorder="1" applyAlignment="1">
      <alignment horizontal="center"/>
    </xf>
    <xf numFmtId="0" fontId="69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vertical="center"/>
    </xf>
    <xf numFmtId="0" fontId="5" fillId="29" borderId="0" xfId="0" quotePrefix="1" applyFont="1" applyFill="1" applyBorder="1" applyAlignment="1">
      <alignment horizontal="center" vertical="center"/>
    </xf>
    <xf numFmtId="0" fontId="74" fillId="29" borderId="0" xfId="0" applyFont="1" applyFill="1" applyAlignment="1">
      <alignment vertical="center"/>
    </xf>
    <xf numFmtId="0" fontId="4" fillId="29" borderId="0" xfId="0" applyFont="1" applyFill="1" applyAlignment="1">
      <alignment horizontal="right" vertical="center"/>
    </xf>
    <xf numFmtId="0" fontId="5" fillId="29" borderId="0" xfId="0" applyFont="1" applyFill="1"/>
    <xf numFmtId="0" fontId="5" fillId="29" borderId="3" xfId="237" applyNumberFormat="1" applyFont="1" applyFill="1" applyBorder="1" applyAlignment="1">
      <alignment horizontal="left" vertical="top" wrapText="1"/>
    </xf>
    <xf numFmtId="0" fontId="5" fillId="29" borderId="3" xfId="237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center" vertical="center"/>
    </xf>
    <xf numFmtId="0" fontId="101" fillId="29" borderId="0" xfId="0" applyFont="1" applyFill="1" applyBorder="1" applyAlignment="1">
      <alignment horizontal="center" vertical="center"/>
    </xf>
    <xf numFmtId="0" fontId="101" fillId="29" borderId="0" xfId="0" applyFont="1" applyFill="1" applyAlignment="1">
      <alignment vertical="center"/>
    </xf>
    <xf numFmtId="0" fontId="80" fillId="29" borderId="0" xfId="0" applyFont="1" applyFill="1" applyAlignment="1">
      <alignment vertical="center"/>
    </xf>
    <xf numFmtId="0" fontId="67" fillId="29" borderId="0" xfId="0" applyFont="1" applyFill="1" applyAlignment="1">
      <alignment vertical="center"/>
    </xf>
    <xf numFmtId="0" fontId="70" fillId="29" borderId="0" xfId="0" applyFont="1" applyFill="1"/>
    <xf numFmtId="0" fontId="70" fillId="29" borderId="0" xfId="0" applyFont="1" applyFill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174" fontId="4" fillId="0" borderId="3" xfId="0" applyNumberFormat="1" applyFont="1" applyFill="1" applyBorder="1" applyAlignment="1">
      <alignment horizontal="center" vertical="center" wrapText="1"/>
    </xf>
    <xf numFmtId="4" fontId="88" fillId="0" borderId="48" xfId="0" applyNumberFormat="1" applyFont="1" applyFill="1" applyBorder="1"/>
    <xf numFmtId="4" fontId="88" fillId="0" borderId="48" xfId="0" applyNumberFormat="1" applyFont="1" applyBorder="1"/>
    <xf numFmtId="4" fontId="3" fillId="29" borderId="14" xfId="0" applyNumberFormat="1" applyFont="1" applyFill="1" applyBorder="1"/>
    <xf numFmtId="0" fontId="80" fillId="29" borderId="0" xfId="0" applyFont="1" applyFill="1" applyBorder="1" applyAlignment="1">
      <alignment horizontal="center" vertical="center"/>
    </xf>
    <xf numFmtId="174" fontId="69" fillId="0" borderId="3" xfId="0" applyNumberFormat="1" applyFont="1" applyFill="1" applyBorder="1" applyAlignment="1">
      <alignment horizontal="center" vertical="center" wrapText="1"/>
    </xf>
    <xf numFmtId="174" fontId="74" fillId="0" borderId="3" xfId="0" applyNumberFormat="1" applyFont="1" applyFill="1" applyBorder="1" applyAlignment="1">
      <alignment horizontal="center" vertical="center" wrapText="1"/>
    </xf>
    <xf numFmtId="0" fontId="69" fillId="29" borderId="14" xfId="0" applyFont="1" applyFill="1" applyBorder="1" applyAlignment="1">
      <alignment horizontal="center" vertical="center" wrapText="1"/>
    </xf>
    <xf numFmtId="0" fontId="69" fillId="29" borderId="16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10" fillId="29" borderId="0" xfId="0" applyFont="1" applyFill="1" applyBorder="1"/>
    <xf numFmtId="0" fontId="69" fillId="29" borderId="0" xfId="0" applyFont="1" applyFill="1" applyBorder="1" applyAlignment="1"/>
    <xf numFmtId="171" fontId="5" fillId="29" borderId="3" xfId="237" applyNumberFormat="1" applyFont="1" applyFill="1" applyBorder="1" applyAlignment="1">
      <alignment horizontal="right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180" fontId="5" fillId="29" borderId="3" xfId="237" applyNumberFormat="1" applyFont="1" applyFill="1" applyBorder="1" applyAlignment="1">
      <alignment vertical="center" wrapText="1"/>
    </xf>
    <xf numFmtId="171" fontId="5" fillId="29" borderId="3" xfId="237" applyNumberFormat="1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right" vertical="center"/>
    </xf>
    <xf numFmtId="0" fontId="69" fillId="0" borderId="3" xfId="0" applyFont="1" applyFill="1" applyBorder="1" applyAlignment="1">
      <alignment horizontal="center" vertical="center" wrapText="1" shrinkToFit="1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5" xfId="245" applyFont="1" applyFill="1" applyBorder="1" applyAlignment="1">
      <alignment horizontal="left" vertical="center" wrapText="1"/>
    </xf>
    <xf numFmtId="0" fontId="74" fillId="0" borderId="14" xfId="245" applyFont="1" applyFill="1" applyBorder="1" applyAlignment="1">
      <alignment horizontal="left" vertical="center" wrapText="1"/>
    </xf>
    <xf numFmtId="174" fontId="74" fillId="0" borderId="14" xfId="245" applyNumberFormat="1" applyFont="1" applyFill="1" applyBorder="1" applyAlignment="1">
      <alignment horizontal="left" vertical="center" wrapText="1"/>
    </xf>
    <xf numFmtId="0" fontId="74" fillId="0" borderId="16" xfId="245" applyFont="1" applyFill="1" applyBorder="1" applyAlignment="1">
      <alignment horizontal="left" vertical="center" wrapText="1"/>
    </xf>
    <xf numFmtId="0" fontId="70" fillId="0" borderId="0" xfId="245" applyFont="1" applyFill="1"/>
    <xf numFmtId="0" fontId="74" fillId="0" borderId="19" xfId="0" applyFont="1" applyFill="1" applyBorder="1" applyAlignment="1">
      <alignment horizontal="left" vertical="center" wrapText="1"/>
    </xf>
    <xf numFmtId="0" fontId="74" fillId="0" borderId="19" xfId="0" quotePrefix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0" fontId="69" fillId="0" borderId="3" xfId="0" quotePrefix="1" applyFont="1" applyFill="1" applyBorder="1" applyAlignment="1">
      <alignment horizontal="center" vertical="center"/>
    </xf>
    <xf numFmtId="174" fontId="69" fillId="0" borderId="0" xfId="0" applyNumberFormat="1" applyFont="1" applyFill="1" applyAlignment="1">
      <alignment vertical="center"/>
    </xf>
    <xf numFmtId="180" fontId="74" fillId="0" borderId="14" xfId="245" applyNumberFormat="1" applyFont="1" applyFill="1" applyBorder="1" applyAlignment="1">
      <alignment horizontal="left" vertical="center" wrapText="1"/>
    </xf>
    <xf numFmtId="180" fontId="74" fillId="0" borderId="16" xfId="245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9" xfId="0" quotePrefix="1" applyFont="1" applyFill="1" applyBorder="1" applyAlignment="1">
      <alignment horizontal="center" vertical="center"/>
    </xf>
    <xf numFmtId="180" fontId="74" fillId="0" borderId="3" xfId="0" applyNumberFormat="1" applyFont="1" applyFill="1" applyBorder="1" applyAlignment="1">
      <alignment horizontal="center" vertical="center" wrapText="1"/>
    </xf>
    <xf numFmtId="0" fontId="74" fillId="0" borderId="0" xfId="0" quotePrefix="1" applyFont="1" applyFill="1" applyBorder="1" applyAlignment="1">
      <alignment horizontal="center" vertical="center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right" vertical="center" wrapText="1"/>
    </xf>
    <xf numFmtId="170" fontId="74" fillId="0" borderId="0" xfId="0" applyNumberFormat="1" applyFont="1" applyFill="1" applyBorder="1" applyAlignment="1">
      <alignment horizontal="right" vertical="center"/>
    </xf>
    <xf numFmtId="0" fontId="74" fillId="0" borderId="0" xfId="0" applyFont="1" applyFill="1" applyAlignment="1">
      <alignment vertical="center"/>
    </xf>
    <xf numFmtId="0" fontId="76" fillId="0" borderId="0" xfId="0" applyFont="1" applyFill="1" applyBorder="1" applyAlignment="1">
      <alignment horizontal="center" wrapText="1"/>
    </xf>
    <xf numFmtId="0" fontId="74" fillId="0" borderId="0" xfId="0" quotePrefix="1" applyFont="1" applyFill="1" applyBorder="1" applyAlignment="1">
      <alignment horizontal="center"/>
    </xf>
    <xf numFmtId="171" fontId="67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69" fillId="0" borderId="0" xfId="0" applyFont="1" applyFill="1" applyAlignment="1">
      <alignment horizontal="center" vertical="center"/>
    </xf>
    <xf numFmtId="0" fontId="69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vertical="center"/>
    </xf>
    <xf numFmtId="0" fontId="104" fillId="0" borderId="0" xfId="245" applyFont="1" applyFill="1" applyBorder="1" applyAlignment="1">
      <alignment vertical="center"/>
    </xf>
    <xf numFmtId="174" fontId="69" fillId="0" borderId="0" xfId="0" applyNumberFormat="1" applyFont="1" applyFill="1" applyAlignment="1">
      <alignment horizontal="center" vertical="center"/>
    </xf>
    <xf numFmtId="174" fontId="104" fillId="0" borderId="0" xfId="0" applyNumberFormat="1" applyFont="1" applyFill="1" applyAlignment="1">
      <alignment horizontal="center" vertical="center"/>
    </xf>
    <xf numFmtId="174" fontId="69" fillId="0" borderId="0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 wrapText="1"/>
    </xf>
    <xf numFmtId="174" fontId="69" fillId="0" borderId="3" xfId="0" applyNumberFormat="1" applyFont="1" applyFill="1" applyBorder="1" applyAlignment="1">
      <alignment horizontal="right" vertical="center" wrapText="1"/>
    </xf>
    <xf numFmtId="174" fontId="69" fillId="0" borderId="3" xfId="0" applyNumberFormat="1" applyFont="1" applyFill="1" applyBorder="1" applyAlignment="1">
      <alignment horizontal="right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74" fontId="72" fillId="0" borderId="3" xfId="0" applyNumberFormat="1" applyFont="1" applyFill="1" applyBorder="1" applyAlignment="1">
      <alignment horizontal="right" vertical="center" wrapText="1"/>
    </xf>
    <xf numFmtId="174" fontId="72" fillId="0" borderId="3" xfId="0" applyNumberFormat="1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/>
    </xf>
    <xf numFmtId="174" fontId="74" fillId="0" borderId="3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vertical="center"/>
    </xf>
    <xf numFmtId="0" fontId="69" fillId="0" borderId="3" xfId="0" applyFont="1" applyFill="1" applyBorder="1" applyAlignment="1">
      <alignment vertical="center" wrapText="1"/>
    </xf>
    <xf numFmtId="0" fontId="67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center" vertical="center"/>
    </xf>
    <xf numFmtId="174" fontId="67" fillId="0" borderId="3" xfId="0" applyNumberFormat="1" applyFont="1" applyFill="1" applyBorder="1" applyAlignment="1">
      <alignment horizontal="right" vertical="center" wrapText="1"/>
    </xf>
    <xf numFmtId="0" fontId="74" fillId="0" borderId="3" xfId="0" quotePrefix="1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 wrapText="1"/>
    </xf>
    <xf numFmtId="0" fontId="69" fillId="0" borderId="15" xfId="0" applyNumberFormat="1" applyFont="1" applyFill="1" applyBorder="1" applyAlignment="1">
      <alignment vertical="center" wrapText="1" shrinkToFit="1"/>
    </xf>
    <xf numFmtId="174" fontId="69" fillId="0" borderId="3" xfId="0" applyNumberFormat="1" applyFont="1" applyFill="1" applyBorder="1" applyAlignment="1">
      <alignment horizontal="right" vertical="center" wrapText="1" shrinkToFit="1"/>
    </xf>
    <xf numFmtId="0" fontId="69" fillId="0" borderId="18" xfId="0" applyFont="1" applyFill="1" applyBorder="1" applyAlignment="1">
      <alignment horizontal="left" vertical="center" wrapText="1"/>
    </xf>
    <xf numFmtId="174" fontId="67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4" fontId="7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 wrapText="1"/>
    </xf>
    <xf numFmtId="174" fontId="7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wrapText="1"/>
    </xf>
    <xf numFmtId="0" fontId="4" fillId="0" borderId="0" xfId="0" quotePrefix="1" applyFont="1" applyFill="1" applyBorder="1" applyAlignment="1">
      <alignment horizontal="center"/>
    </xf>
    <xf numFmtId="171" fontId="4" fillId="0" borderId="0" xfId="0" quotePrefix="1" applyNumberFormat="1" applyFont="1" applyFill="1" applyBorder="1" applyAlignment="1">
      <alignment wrapText="1"/>
    </xf>
    <xf numFmtId="0" fontId="80" fillId="0" borderId="0" xfId="0" applyFont="1" applyFill="1" applyBorder="1" applyAlignment="1">
      <alignment horizontal="center" vertical="top"/>
    </xf>
    <xf numFmtId="0" fontId="100" fillId="0" borderId="0" xfId="0" applyFont="1" applyFill="1" applyBorder="1" applyAlignment="1">
      <alignment vertical="top"/>
    </xf>
    <xf numFmtId="0" fontId="80" fillId="0" borderId="0" xfId="0" applyFont="1" applyFill="1" applyBorder="1" applyAlignment="1">
      <alignment horizontal="center" vertical="top"/>
    </xf>
    <xf numFmtId="0" fontId="80" fillId="0" borderId="0" xfId="0" applyFont="1" applyFill="1" applyBorder="1" applyAlignment="1">
      <alignment horizontal="left" vertical="top"/>
    </xf>
    <xf numFmtId="0" fontId="106" fillId="0" borderId="3" xfId="0" applyFont="1" applyFill="1" applyBorder="1" applyAlignment="1">
      <alignment horizontal="center" vertical="center" wrapText="1" shrinkToFit="1"/>
    </xf>
    <xf numFmtId="0" fontId="106" fillId="0" borderId="3" xfId="0" applyFont="1" applyFill="1" applyBorder="1" applyAlignment="1">
      <alignment horizontal="center" vertical="center"/>
    </xf>
    <xf numFmtId="0" fontId="106" fillId="0" borderId="3" xfId="0" applyFont="1" applyFill="1" applyBorder="1" applyAlignment="1">
      <alignment horizontal="center" vertical="center" wrapText="1"/>
    </xf>
    <xf numFmtId="0" fontId="107" fillId="0" borderId="3" xfId="0" applyFont="1" applyFill="1" applyBorder="1" applyAlignment="1">
      <alignment horizontal="left" vertical="center" wrapText="1"/>
    </xf>
    <xf numFmtId="0" fontId="107" fillId="0" borderId="3" xfId="0" applyFont="1" applyFill="1" applyBorder="1" applyAlignment="1">
      <alignment horizontal="center" vertical="center" wrapText="1"/>
    </xf>
    <xf numFmtId="174" fontId="107" fillId="0" borderId="3" xfId="0" applyNumberFormat="1" applyFont="1" applyFill="1" applyBorder="1" applyAlignment="1">
      <alignment horizontal="center" vertical="center" wrapText="1"/>
    </xf>
    <xf numFmtId="0" fontId="106" fillId="0" borderId="3" xfId="0" applyFont="1" applyFill="1" applyBorder="1" applyAlignment="1">
      <alignment horizontal="left" vertical="center" wrapText="1"/>
    </xf>
    <xf numFmtId="174" fontId="106" fillId="0" borderId="3" xfId="0" applyNumberFormat="1" applyFont="1" applyFill="1" applyBorder="1" applyAlignment="1">
      <alignment horizontal="center" vertical="center" wrapText="1"/>
    </xf>
    <xf numFmtId="174" fontId="106" fillId="0" borderId="3" xfId="0" applyNumberFormat="1" applyFont="1" applyFill="1" applyBorder="1" applyAlignment="1">
      <alignment vertical="center"/>
    </xf>
    <xf numFmtId="0" fontId="107" fillId="0" borderId="3" xfId="0" quotePrefix="1" applyFont="1" applyFill="1" applyBorder="1" applyAlignment="1">
      <alignment horizontal="center" vertical="center"/>
    </xf>
    <xf numFmtId="0" fontId="106" fillId="0" borderId="15" xfId="0" applyFont="1" applyFill="1" applyBorder="1" applyAlignment="1">
      <alignment horizontal="left" vertical="center" wrapText="1"/>
    </xf>
    <xf numFmtId="0" fontId="106" fillId="0" borderId="3" xfId="0" applyFont="1" applyFill="1" applyBorder="1" applyAlignment="1">
      <alignment vertical="center"/>
    </xf>
    <xf numFmtId="0" fontId="106" fillId="0" borderId="18" xfId="0" applyFont="1" applyFill="1" applyBorder="1" applyAlignment="1">
      <alignment horizontal="left" vertical="center" wrapText="1"/>
    </xf>
    <xf numFmtId="174" fontId="107" fillId="0" borderId="3" xfId="0" applyNumberFormat="1" applyFont="1" applyFill="1" applyBorder="1" applyAlignment="1">
      <alignment vertical="center"/>
    </xf>
    <xf numFmtId="174" fontId="5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108" fillId="0" borderId="0" xfId="0" applyFont="1" applyFill="1" applyBorder="1" applyAlignment="1">
      <alignment horizontal="center" wrapText="1"/>
    </xf>
    <xf numFmtId="0" fontId="107" fillId="0" borderId="0" xfId="0" quotePrefix="1" applyFont="1" applyFill="1" applyBorder="1" applyAlignment="1">
      <alignment horizontal="center"/>
    </xf>
    <xf numFmtId="171" fontId="107" fillId="0" borderId="0" xfId="0" quotePrefix="1" applyNumberFormat="1" applyFont="1" applyFill="1" applyBorder="1" applyAlignment="1">
      <alignment wrapText="1"/>
    </xf>
    <xf numFmtId="0" fontId="107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103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20" xfId="0" applyFont="1" applyFill="1" applyBorder="1" applyAlignment="1">
      <alignment vertic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16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horizontal="right" vertical="center" wrapText="1"/>
    </xf>
    <xf numFmtId="0" fontId="72" fillId="0" borderId="0" xfId="0" applyFont="1" applyFill="1" applyAlignment="1">
      <alignment horizontal="center" vertical="center"/>
    </xf>
    <xf numFmtId="0" fontId="69" fillId="0" borderId="3" xfId="182" applyFont="1" applyFill="1" applyBorder="1" applyAlignment="1">
      <alignment vertical="center" wrapText="1"/>
      <protection locked="0"/>
    </xf>
    <xf numFmtId="0" fontId="74" fillId="0" borderId="3" xfId="182" applyFont="1" applyFill="1" applyBorder="1" applyAlignment="1">
      <alignment vertical="center" wrapText="1"/>
      <protection locked="0"/>
    </xf>
    <xf numFmtId="0" fontId="69" fillId="0" borderId="3" xfId="245" applyFont="1" applyFill="1" applyBorder="1" applyAlignment="1">
      <alignment horizontal="left" vertical="center" wrapText="1"/>
    </xf>
    <xf numFmtId="0" fontId="69" fillId="0" borderId="3" xfId="0" applyFont="1" applyFill="1" applyBorder="1" applyAlignment="1" applyProtection="1">
      <alignment horizontal="left" vertical="center" wrapText="1"/>
      <protection locked="0"/>
    </xf>
    <xf numFmtId="0" fontId="74" fillId="0" borderId="3" xfId="0" applyFont="1" applyFill="1" applyBorder="1" applyAlignment="1" applyProtection="1">
      <alignment horizontal="left" vertical="center" wrapText="1"/>
      <protection locked="0"/>
    </xf>
    <xf numFmtId="178" fontId="69" fillId="0" borderId="3" xfId="0" applyNumberFormat="1" applyFont="1" applyFill="1" applyBorder="1" applyAlignment="1">
      <alignment horizontal="center" vertical="center" wrapText="1"/>
    </xf>
    <xf numFmtId="174" fontId="69" fillId="0" borderId="0" xfId="0" applyNumberFormat="1" applyFont="1" applyFill="1" applyBorder="1" applyAlignment="1">
      <alignment vertical="center"/>
    </xf>
    <xf numFmtId="0" fontId="109" fillId="0" borderId="0" xfId="0" applyFont="1" applyFill="1" applyBorder="1" applyAlignment="1">
      <alignment vertical="center"/>
    </xf>
    <xf numFmtId="49" fontId="69" fillId="0" borderId="3" xfId="0" applyNumberFormat="1" applyFont="1" applyFill="1" applyBorder="1" applyAlignment="1">
      <alignment horizontal="center" vertical="center"/>
    </xf>
    <xf numFmtId="171" fontId="69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 applyProtection="1">
      <alignment horizontal="left" vertical="center"/>
      <protection locked="0"/>
    </xf>
    <xf numFmtId="171" fontId="74" fillId="0" borderId="0" xfId="0" applyNumberFormat="1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right" vertical="center" wrapText="1"/>
    </xf>
    <xf numFmtId="171" fontId="69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2" fontId="69" fillId="0" borderId="3" xfId="0" applyNumberFormat="1" applyFont="1" applyFill="1" applyBorder="1" applyAlignment="1">
      <alignment horizontal="left" vertical="center" wrapText="1"/>
    </xf>
    <xf numFmtId="174" fontId="74" fillId="0" borderId="0" xfId="0" applyNumberFormat="1" applyFont="1" applyFill="1" applyBorder="1" applyAlignment="1">
      <alignment horizontal="center" vertical="center" wrapText="1"/>
    </xf>
    <xf numFmtId="49" fontId="74" fillId="0" borderId="0" xfId="0" applyNumberFormat="1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171" fontId="69" fillId="0" borderId="0" xfId="0" applyNumberFormat="1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4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74" fontId="79" fillId="0" borderId="3" xfId="0" applyNumberFormat="1" applyFont="1" applyFill="1" applyBorder="1" applyAlignment="1">
      <alignment horizontal="right" vertical="center"/>
    </xf>
    <xf numFmtId="174" fontId="4" fillId="0" borderId="3" xfId="0" applyNumberFormat="1" applyFont="1" applyFill="1" applyBorder="1" applyAlignment="1">
      <alignment vertical="center"/>
    </xf>
    <xf numFmtId="0" fontId="5" fillId="0" borderId="3" xfId="0" applyFont="1" applyFill="1" applyBorder="1"/>
    <xf numFmtId="171" fontId="74" fillId="0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74" fillId="0" borderId="0" xfId="0" applyFont="1" applyFill="1" applyBorder="1" applyAlignment="1">
      <alignment vertical="center"/>
    </xf>
    <xf numFmtId="0" fontId="69" fillId="0" borderId="15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 shrinkToFit="1"/>
    </xf>
    <xf numFmtId="0" fontId="74" fillId="0" borderId="0" xfId="0" applyFont="1" applyFill="1" applyBorder="1" applyAlignment="1">
      <alignment horizontal="left" vertical="center" wrapText="1"/>
    </xf>
    <xf numFmtId="170" fontId="98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/>
    </xf>
    <xf numFmtId="171" fontId="69" fillId="0" borderId="3" xfId="0" applyNumberFormat="1" applyFont="1" applyFill="1" applyBorder="1" applyAlignment="1">
      <alignment horizontal="center" vertical="center"/>
    </xf>
    <xf numFmtId="3" fontId="69" fillId="0" borderId="3" xfId="0" applyNumberFormat="1" applyFont="1" applyFill="1" applyBorder="1" applyAlignment="1">
      <alignment horizontal="center" vertical="center"/>
    </xf>
    <xf numFmtId="3" fontId="98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horizontal="center" vertical="center" wrapText="1"/>
    </xf>
    <xf numFmtId="171" fontId="74" fillId="0" borderId="3" xfId="0" applyNumberFormat="1" applyFont="1" applyFill="1" applyBorder="1" applyAlignment="1">
      <alignment vertical="center" wrapText="1"/>
    </xf>
    <xf numFmtId="3" fontId="7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" fontId="69" fillId="0" borderId="0" xfId="0" applyNumberFormat="1" applyFont="1" applyFill="1" applyBorder="1" applyAlignment="1">
      <alignment horizontal="center" vertical="center"/>
    </xf>
    <xf numFmtId="0" fontId="98" fillId="0" borderId="3" xfId="0" applyFont="1" applyFill="1" applyBorder="1" applyAlignment="1">
      <alignment horizontal="center" vertical="center" wrapText="1"/>
    </xf>
    <xf numFmtId="49" fontId="106" fillId="0" borderId="3" xfId="0" applyNumberFormat="1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105" fillId="0" borderId="15" xfId="0" applyFont="1" applyFill="1" applyBorder="1" applyAlignment="1" applyProtection="1">
      <alignment horizontal="left" vertical="center" wrapText="1"/>
      <protection locked="0"/>
    </xf>
    <xf numFmtId="0" fontId="105" fillId="0" borderId="14" xfId="0" applyFont="1" applyFill="1" applyBorder="1" applyAlignment="1" applyProtection="1">
      <alignment horizontal="left" vertical="center" wrapText="1"/>
      <protection locked="0"/>
    </xf>
    <xf numFmtId="0" fontId="105" fillId="0" borderId="16" xfId="0" applyFont="1" applyFill="1" applyBorder="1" applyAlignment="1" applyProtection="1">
      <alignment horizontal="left" vertical="center" wrapText="1"/>
      <protection locked="0"/>
    </xf>
    <xf numFmtId="179" fontId="105" fillId="0" borderId="15" xfId="0" applyNumberFormat="1" applyFont="1" applyFill="1" applyBorder="1" applyAlignment="1">
      <alignment horizontal="center" vertical="center" wrapText="1"/>
    </xf>
    <xf numFmtId="179" fontId="105" fillId="0" borderId="14" xfId="0" applyNumberFormat="1" applyFont="1" applyFill="1" applyBorder="1" applyAlignment="1">
      <alignment horizontal="center" vertical="center" wrapText="1"/>
    </xf>
    <xf numFmtId="179" fontId="105" fillId="0" borderId="16" xfId="0" applyNumberFormat="1" applyFont="1" applyFill="1" applyBorder="1" applyAlignment="1">
      <alignment horizontal="center" vertical="center" wrapText="1"/>
    </xf>
    <xf numFmtId="0" fontId="10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1" fontId="5" fillId="0" borderId="0" xfId="0" applyNumberFormat="1" applyFont="1" applyFill="1" applyAlignment="1">
      <alignment vertical="center"/>
    </xf>
    <xf numFmtId="0" fontId="74" fillId="0" borderId="0" xfId="245" applyFont="1" applyFill="1" applyBorder="1" applyAlignment="1">
      <alignment horizontal="right" vertical="center"/>
    </xf>
    <xf numFmtId="0" fontId="72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74" fillId="0" borderId="3" xfId="245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vertical="center"/>
    </xf>
    <xf numFmtId="0" fontId="74" fillId="0" borderId="3" xfId="245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horizontal="left" vertical="center" wrapText="1"/>
    </xf>
    <xf numFmtId="171" fontId="69" fillId="0" borderId="0" xfId="245" applyNumberFormat="1" applyFont="1" applyFill="1" applyBorder="1" applyAlignment="1">
      <alignment horizontal="center" vertical="center" wrapText="1"/>
    </xf>
    <xf numFmtId="171" fontId="69" fillId="0" borderId="0" xfId="245" applyNumberFormat="1" applyFont="1" applyFill="1" applyBorder="1" applyAlignment="1">
      <alignment horizontal="right" vertical="center" wrapText="1"/>
    </xf>
    <xf numFmtId="0" fontId="69" fillId="0" borderId="0" xfId="245" applyFont="1" applyFill="1" applyBorder="1" applyAlignment="1">
      <alignment vertical="center" wrapText="1"/>
    </xf>
    <xf numFmtId="174" fontId="69" fillId="0" borderId="0" xfId="24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13" xfId="0" applyFont="1" applyFill="1" applyBorder="1" applyAlignment="1"/>
    <xf numFmtId="0" fontId="4" fillId="0" borderId="0" xfId="0" applyFont="1" applyFill="1" applyBorder="1" applyAlignment="1">
      <alignment wrapText="1"/>
    </xf>
    <xf numFmtId="171" fontId="4" fillId="0" borderId="0" xfId="0" applyNumberFormat="1" applyFont="1" applyFill="1" applyBorder="1" applyAlignment="1">
      <alignment horizontal="right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180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174" fontId="69" fillId="0" borderId="3" xfId="0" applyNumberFormat="1" applyFont="1" applyFill="1" applyBorder="1" applyAlignment="1">
      <alignment horizontal="center" vertical="center"/>
    </xf>
    <xf numFmtId="180" fontId="69" fillId="0" borderId="3" xfId="0" applyNumberFormat="1" applyFont="1" applyFill="1" applyBorder="1" applyAlignment="1">
      <alignment horizontal="center" vertical="center" wrapText="1"/>
    </xf>
    <xf numFmtId="170" fontId="69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4" fillId="0" borderId="3" xfId="0" quotePrefix="1" applyNumberFormat="1" applyFont="1" applyFill="1" applyBorder="1" applyAlignment="1">
      <alignment horizontal="center" vertical="center" wrapText="1"/>
    </xf>
    <xf numFmtId="0" fontId="69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right" vertical="center" wrapText="1"/>
    </xf>
    <xf numFmtId="0" fontId="70" fillId="0" borderId="13" xfId="0" applyFont="1" applyFill="1" applyBorder="1" applyAlignment="1">
      <alignment horizontal="righ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right" vertical="center"/>
    </xf>
    <xf numFmtId="0" fontId="69" fillId="0" borderId="20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69" fillId="0" borderId="18" xfId="0" applyFont="1" applyFill="1" applyBorder="1" applyAlignment="1">
      <alignment horizontal="center" vertical="center" wrapText="1" shrinkToFit="1"/>
    </xf>
    <xf numFmtId="0" fontId="69" fillId="0" borderId="19" xfId="0" applyFont="1" applyFill="1" applyBorder="1" applyAlignment="1">
      <alignment horizontal="center" vertical="center" wrapText="1" shrinkToFi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 applyProtection="1">
      <alignment horizontal="center"/>
      <protection locked="0"/>
    </xf>
    <xf numFmtId="0" fontId="75" fillId="0" borderId="14" xfId="0" applyFont="1" applyFill="1" applyBorder="1" applyAlignment="1" applyProtection="1">
      <alignment horizontal="center"/>
      <protection locked="0"/>
    </xf>
    <xf numFmtId="0" fontId="75" fillId="0" borderId="16" xfId="0" applyFont="1" applyFill="1" applyBorder="1" applyAlignment="1" applyProtection="1">
      <alignment horizontal="center"/>
      <protection locked="0"/>
    </xf>
    <xf numFmtId="0" fontId="69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237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 wrapText="1"/>
    </xf>
    <xf numFmtId="1" fontId="69" fillId="0" borderId="14" xfId="0" applyNumberFormat="1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right" vertical="center"/>
    </xf>
    <xf numFmtId="0" fontId="69" fillId="0" borderId="16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3" fillId="0" borderId="0" xfId="0" applyFont="1" applyFill="1" applyBorder="1" applyAlignment="1">
      <alignment horizontal="left" vertical="center" wrapText="1"/>
    </xf>
    <xf numFmtId="0" fontId="71" fillId="0" borderId="21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103" fillId="0" borderId="0" xfId="0" applyFont="1" applyFill="1" applyBorder="1" applyAlignment="1">
      <alignment horizontal="left" vertical="center"/>
    </xf>
    <xf numFmtId="174" fontId="69" fillId="0" borderId="15" xfId="0" applyNumberFormat="1" applyFont="1" applyFill="1" applyBorder="1" applyAlignment="1">
      <alignment horizontal="center" vertical="center" wrapText="1"/>
    </xf>
    <xf numFmtId="174" fontId="70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1" fontId="74" fillId="0" borderId="0" xfId="0" applyNumberFormat="1" applyFont="1" applyFill="1" applyBorder="1" applyAlignment="1">
      <alignment horizontal="center" wrapText="1"/>
    </xf>
    <xf numFmtId="171" fontId="74" fillId="0" borderId="0" xfId="0" quotePrefix="1" applyNumberFormat="1" applyFont="1" applyFill="1" applyBorder="1" applyAlignment="1">
      <alignment horizontal="center" wrapText="1"/>
    </xf>
    <xf numFmtId="0" fontId="74" fillId="0" borderId="13" xfId="0" applyFont="1" applyFill="1" applyBorder="1" applyAlignment="1">
      <alignment horizontal="center"/>
    </xf>
    <xf numFmtId="0" fontId="75" fillId="0" borderId="19" xfId="0" applyFont="1" applyFill="1" applyBorder="1" applyAlignment="1">
      <alignment horizontal="center" vertical="center"/>
    </xf>
    <xf numFmtId="174" fontId="74" fillId="0" borderId="15" xfId="0" applyNumberFormat="1" applyFont="1" applyFill="1" applyBorder="1" applyAlignment="1">
      <alignment horizontal="center" vertical="center" wrapText="1"/>
    </xf>
    <xf numFmtId="174" fontId="77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top"/>
    </xf>
    <xf numFmtId="0" fontId="75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75" fillId="0" borderId="15" xfId="245" applyFont="1" applyFill="1" applyBorder="1" applyAlignment="1">
      <alignment horizontal="center" vertical="center" wrapText="1"/>
    </xf>
    <xf numFmtId="0" fontId="75" fillId="0" borderId="14" xfId="245" applyFont="1" applyFill="1" applyBorder="1" applyAlignment="1">
      <alignment horizontal="center" vertical="center" wrapText="1"/>
    </xf>
    <xf numFmtId="0" fontId="75" fillId="0" borderId="16" xfId="245" applyFont="1" applyFill="1" applyBorder="1" applyAlignment="1">
      <alignment horizontal="center" vertical="center" wrapText="1"/>
    </xf>
    <xf numFmtId="0" fontId="75" fillId="0" borderId="3" xfId="245" applyFont="1" applyFill="1" applyBorder="1" applyAlignment="1">
      <alignment horizontal="center" vertical="center" wrapText="1"/>
    </xf>
    <xf numFmtId="0" fontId="69" fillId="0" borderId="18" xfId="245" applyFont="1" applyFill="1" applyBorder="1" applyAlignment="1">
      <alignment horizontal="center" vertical="center" wrapText="1"/>
    </xf>
    <xf numFmtId="0" fontId="69" fillId="0" borderId="19" xfId="24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top"/>
    </xf>
    <xf numFmtId="0" fontId="80" fillId="0" borderId="0" xfId="0" applyFont="1" applyFill="1" applyAlignment="1">
      <alignment horizontal="center" vertical="top"/>
    </xf>
    <xf numFmtId="0" fontId="69" fillId="0" borderId="18" xfId="0" applyFont="1" applyFill="1" applyBorder="1" applyAlignment="1">
      <alignment horizontal="center" vertical="center"/>
    </xf>
    <xf numFmtId="0" fontId="69" fillId="0" borderId="19" xfId="0" applyFont="1" applyFill="1" applyBorder="1" applyAlignment="1">
      <alignment horizontal="center" vertical="center"/>
    </xf>
    <xf numFmtId="171" fontId="4" fillId="0" borderId="0" xfId="0" applyNumberFormat="1" applyFont="1" applyFill="1" applyBorder="1" applyAlignment="1">
      <alignment horizont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right"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 wrapText="1" shrinkToFit="1"/>
    </xf>
    <xf numFmtId="0" fontId="69" fillId="29" borderId="19" xfId="0" applyFont="1" applyFill="1" applyBorder="1" applyAlignment="1">
      <alignment horizontal="center" vertical="center" wrapText="1" shrinkToFit="1"/>
    </xf>
    <xf numFmtId="171" fontId="74" fillId="29" borderId="0" xfId="0" applyNumberFormat="1" applyFont="1" applyFill="1" applyBorder="1" applyAlignment="1">
      <alignment horizontal="center" wrapText="1"/>
    </xf>
    <xf numFmtId="171" fontId="74" fillId="29" borderId="0" xfId="0" quotePrefix="1" applyNumberFormat="1" applyFont="1" applyFill="1" applyBorder="1" applyAlignment="1">
      <alignment horizontal="center" wrapText="1"/>
    </xf>
    <xf numFmtId="0" fontId="5" fillId="29" borderId="0" xfId="0" applyFont="1" applyFill="1" applyBorder="1" applyAlignment="1">
      <alignment horizontal="center" vertical="top"/>
    </xf>
    <xf numFmtId="0" fontId="5" fillId="29" borderId="0" xfId="0" applyFont="1" applyFill="1" applyAlignment="1">
      <alignment horizontal="center" vertical="top"/>
    </xf>
    <xf numFmtId="0" fontId="107" fillId="0" borderId="13" xfId="0" applyFont="1" applyFill="1" applyBorder="1" applyAlignment="1">
      <alignment horizontal="center"/>
    </xf>
    <xf numFmtId="0" fontId="107" fillId="0" borderId="0" xfId="0" applyFont="1" applyFill="1" applyBorder="1" applyAlignment="1">
      <alignment horizontal="center" vertical="center" wrapText="1"/>
    </xf>
    <xf numFmtId="0" fontId="106" fillId="0" borderId="18" xfId="0" applyFont="1" applyFill="1" applyBorder="1" applyAlignment="1">
      <alignment horizontal="center" vertical="center"/>
    </xf>
    <xf numFmtId="0" fontId="106" fillId="0" borderId="19" xfId="0" applyFont="1" applyFill="1" applyBorder="1" applyAlignment="1">
      <alignment horizontal="center" vertical="center"/>
    </xf>
    <xf numFmtId="0" fontId="106" fillId="0" borderId="18" xfId="0" applyFont="1" applyFill="1" applyBorder="1" applyAlignment="1">
      <alignment horizontal="center" vertical="center" wrapText="1"/>
    </xf>
    <xf numFmtId="0" fontId="106" fillId="0" borderId="19" xfId="0" applyFont="1" applyFill="1" applyBorder="1" applyAlignment="1">
      <alignment horizontal="center" vertical="center" wrapText="1"/>
    </xf>
    <xf numFmtId="0" fontId="106" fillId="0" borderId="18" xfId="0" applyFont="1" applyFill="1" applyBorder="1" applyAlignment="1">
      <alignment horizontal="center" vertical="center" wrapText="1" shrinkToFit="1"/>
    </xf>
    <xf numFmtId="0" fontId="106" fillId="0" borderId="19" xfId="0" applyFont="1" applyFill="1" applyBorder="1" applyAlignment="1">
      <alignment horizontal="center" vertical="center" wrapText="1" shrinkToFit="1"/>
    </xf>
    <xf numFmtId="0" fontId="10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71" fontId="107" fillId="0" borderId="0" xfId="0" applyNumberFormat="1" applyFont="1" applyFill="1" applyBorder="1" applyAlignment="1">
      <alignment horizontal="center" wrapText="1"/>
    </xf>
    <xf numFmtId="0" fontId="4" fillId="29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1" fontId="5" fillId="29" borderId="0" xfId="0" applyNumberFormat="1" applyFont="1" applyFill="1" applyBorder="1" applyAlignment="1">
      <alignment horizontal="center" vertical="center" wrapText="1"/>
    </xf>
    <xf numFmtId="171" fontId="5" fillId="29" borderId="0" xfId="0" quotePrefix="1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9" xfId="0" applyFont="1" applyFill="1" applyBorder="1" applyAlignment="1">
      <alignment horizontal="center" vertical="center" wrapText="1" shrinkToFit="1"/>
    </xf>
    <xf numFmtId="179" fontId="105" fillId="0" borderId="15" xfId="0" applyNumberFormat="1" applyFont="1" applyFill="1" applyBorder="1" applyAlignment="1">
      <alignment horizontal="center" vertical="center" wrapText="1"/>
    </xf>
    <xf numFmtId="179" fontId="105" fillId="0" borderId="14" xfId="0" applyNumberFormat="1" applyFont="1" applyFill="1" applyBorder="1" applyAlignment="1">
      <alignment horizontal="center" vertical="center" wrapText="1"/>
    </xf>
    <xf numFmtId="179" fontId="105" fillId="0" borderId="16" xfId="0" applyNumberFormat="1" applyFont="1" applyFill="1" applyBorder="1" applyAlignment="1">
      <alignment horizontal="center" vertical="center" wrapText="1"/>
    </xf>
    <xf numFmtId="181" fontId="106" fillId="0" borderId="15" xfId="353" applyNumberFormat="1" applyFont="1" applyFill="1" applyBorder="1" applyAlignment="1">
      <alignment horizontal="center" vertical="center" wrapText="1"/>
    </xf>
    <xf numFmtId="181" fontId="106" fillId="0" borderId="16" xfId="353" applyNumberFormat="1" applyFont="1" applyFill="1" applyBorder="1" applyAlignment="1">
      <alignment horizontal="center" vertical="center" wrapText="1"/>
    </xf>
    <xf numFmtId="179" fontId="106" fillId="0" borderId="15" xfId="0" applyNumberFormat="1" applyFont="1" applyFill="1" applyBorder="1" applyAlignment="1">
      <alignment horizontal="center" vertical="center" wrapText="1"/>
    </xf>
    <xf numFmtId="179" fontId="106" fillId="0" borderId="16" xfId="0" applyNumberFormat="1" applyFont="1" applyFill="1" applyBorder="1" applyAlignment="1">
      <alignment horizontal="center" vertical="center" wrapText="1"/>
    </xf>
    <xf numFmtId="171" fontId="106" fillId="0" borderId="3" xfId="0" applyNumberFormat="1" applyFont="1" applyFill="1" applyBorder="1" applyAlignment="1">
      <alignment horizontal="center" vertical="center" wrapText="1"/>
    </xf>
    <xf numFmtId="181" fontId="106" fillId="0" borderId="15" xfId="353" applyNumberFormat="1" applyFont="1" applyFill="1" applyBorder="1" applyAlignment="1">
      <alignment horizontal="right" vertical="center" wrapText="1"/>
    </xf>
    <xf numFmtId="181" fontId="106" fillId="0" borderId="16" xfId="353" applyNumberFormat="1" applyFont="1" applyFill="1" applyBorder="1" applyAlignment="1">
      <alignment horizontal="right" vertical="center" wrapText="1"/>
    </xf>
    <xf numFmtId="0" fontId="98" fillId="0" borderId="3" xfId="0" applyFont="1" applyFill="1" applyBorder="1" applyAlignment="1">
      <alignment horizontal="center" vertical="center" wrapText="1"/>
    </xf>
    <xf numFmtId="3" fontId="106" fillId="0" borderId="3" xfId="0" applyNumberFormat="1" applyFont="1" applyFill="1" applyBorder="1" applyAlignment="1">
      <alignment horizontal="center" vertical="center" wrapText="1"/>
    </xf>
    <xf numFmtId="0" fontId="98" fillId="0" borderId="3" xfId="0" applyFont="1" applyFill="1" applyBorder="1" applyAlignment="1">
      <alignment horizontal="center" vertical="center"/>
    </xf>
    <xf numFmtId="179" fontId="98" fillId="0" borderId="15" xfId="0" applyNumberFormat="1" applyFont="1" applyFill="1" applyBorder="1" applyAlignment="1">
      <alignment horizontal="center" vertical="center" wrapText="1"/>
    </xf>
    <xf numFmtId="179" fontId="98" fillId="0" borderId="14" xfId="0" applyNumberFormat="1" applyFont="1" applyFill="1" applyBorder="1" applyAlignment="1">
      <alignment horizontal="center" vertical="center" wrapText="1"/>
    </xf>
    <xf numFmtId="179" fontId="98" fillId="0" borderId="16" xfId="0" applyNumberFormat="1" applyFont="1" applyFill="1" applyBorder="1" applyAlignment="1">
      <alignment horizontal="center" vertical="center" wrapText="1"/>
    </xf>
    <xf numFmtId="3" fontId="106" fillId="0" borderId="15" xfId="0" applyNumberFormat="1" applyFont="1" applyFill="1" applyBorder="1" applyAlignment="1">
      <alignment horizontal="center" vertical="center" wrapText="1"/>
    </xf>
    <xf numFmtId="3" fontId="106" fillId="0" borderId="14" xfId="0" applyNumberFormat="1" applyFont="1" applyFill="1" applyBorder="1" applyAlignment="1">
      <alignment horizontal="center" vertical="center" wrapText="1"/>
    </xf>
    <xf numFmtId="3" fontId="106" fillId="0" borderId="16" xfId="0" applyNumberFormat="1" applyFont="1" applyFill="1" applyBorder="1" applyAlignment="1">
      <alignment horizontal="center" vertical="center" wrapText="1"/>
    </xf>
    <xf numFmtId="171" fontId="106" fillId="0" borderId="15" xfId="0" applyNumberFormat="1" applyFont="1" applyFill="1" applyBorder="1" applyAlignment="1">
      <alignment horizontal="center" vertical="center" wrapText="1"/>
    </xf>
    <xf numFmtId="171" fontId="106" fillId="0" borderId="16" xfId="0" applyNumberFormat="1" applyFont="1" applyFill="1" applyBorder="1" applyAlignment="1">
      <alignment horizontal="center" vertical="center" wrapText="1"/>
    </xf>
    <xf numFmtId="0" fontId="106" fillId="0" borderId="15" xfId="0" applyFont="1" applyFill="1" applyBorder="1" applyAlignment="1">
      <alignment horizontal="center" vertical="center" wrapText="1"/>
    </xf>
    <xf numFmtId="0" fontId="106" fillId="0" borderId="14" xfId="0" applyFont="1" applyFill="1" applyBorder="1" applyAlignment="1">
      <alignment horizontal="center" vertical="center" wrapText="1"/>
    </xf>
    <xf numFmtId="0" fontId="106" fillId="0" borderId="16" xfId="0" applyFont="1" applyFill="1" applyBorder="1" applyAlignment="1">
      <alignment horizontal="center" vertical="center" wrapText="1"/>
    </xf>
    <xf numFmtId="3" fontId="106" fillId="0" borderId="15" xfId="0" applyNumberFormat="1" applyFont="1" applyFill="1" applyBorder="1" applyAlignment="1">
      <alignment vertical="center" wrapText="1"/>
    </xf>
    <xf numFmtId="3" fontId="106" fillId="0" borderId="16" xfId="0" applyNumberFormat="1" applyFont="1" applyFill="1" applyBorder="1" applyAlignment="1">
      <alignment vertical="center" wrapText="1"/>
    </xf>
    <xf numFmtId="174" fontId="69" fillId="0" borderId="16" xfId="0" applyNumberFormat="1" applyFont="1" applyFill="1" applyBorder="1" applyAlignment="1">
      <alignment horizontal="center" vertical="center" wrapText="1"/>
    </xf>
    <xf numFmtId="174" fontId="74" fillId="0" borderId="16" xfId="0" applyNumberFormat="1" applyFont="1" applyFill="1" applyBorder="1" applyAlignment="1">
      <alignment horizontal="center" vertical="center" wrapText="1"/>
    </xf>
    <xf numFmtId="178" fontId="74" fillId="0" borderId="15" xfId="0" applyNumberFormat="1" applyFont="1" applyFill="1" applyBorder="1" applyAlignment="1">
      <alignment horizontal="center" vertical="center" wrapText="1"/>
    </xf>
    <xf numFmtId="178" fontId="74" fillId="0" borderId="16" xfId="0" applyNumberFormat="1" applyFont="1" applyFill="1" applyBorder="1" applyAlignment="1">
      <alignment horizontal="center" vertical="center" wrapText="1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49" fontId="105" fillId="0" borderId="3" xfId="0" applyNumberFormat="1" applyFont="1" applyFill="1" applyBorder="1" applyAlignment="1">
      <alignment horizontal="center" vertical="center" wrapText="1"/>
    </xf>
    <xf numFmtId="49" fontId="106" fillId="0" borderId="15" xfId="0" applyNumberFormat="1" applyFont="1" applyFill="1" applyBorder="1" applyAlignment="1">
      <alignment horizontal="center" vertical="center" wrapText="1"/>
    </xf>
    <xf numFmtId="49" fontId="106" fillId="0" borderId="16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49" fontId="106" fillId="0" borderId="14" xfId="0" applyNumberFormat="1" applyFont="1" applyFill="1" applyBorder="1" applyAlignment="1">
      <alignment horizontal="center" vertical="center" wrapText="1"/>
    </xf>
    <xf numFmtId="3" fontId="106" fillId="0" borderId="15" xfId="0" applyNumberFormat="1" applyFont="1" applyFill="1" applyBorder="1" applyAlignment="1">
      <alignment horizontal="right" vertical="center" wrapText="1"/>
    </xf>
    <xf numFmtId="3" fontId="106" fillId="0" borderId="16" xfId="0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justify" vertical="center" wrapText="1" shrinkToFi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69" fillId="0" borderId="0" xfId="0" applyFont="1" applyFill="1" applyAlignment="1">
      <alignment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4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98" fillId="0" borderId="15" xfId="0" applyFont="1" applyFill="1" applyBorder="1" applyAlignment="1">
      <alignment horizontal="center" vertical="center" wrapText="1"/>
    </xf>
    <xf numFmtId="0" fontId="98" fillId="0" borderId="14" xfId="0" applyFont="1" applyFill="1" applyBorder="1" applyAlignment="1">
      <alignment horizontal="center" vertical="center" wrapText="1"/>
    </xf>
    <xf numFmtId="0" fontId="98" fillId="0" borderId="16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179" fontId="99" fillId="0" borderId="3" xfId="0" applyNumberFormat="1" applyFont="1" applyFill="1" applyBorder="1" applyAlignment="1">
      <alignment horizontal="center" vertical="center" wrapText="1"/>
    </xf>
    <xf numFmtId="179" fontId="105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9" fillId="0" borderId="15" xfId="0" applyFont="1" applyFill="1" applyBorder="1" applyAlignment="1">
      <alignment horizontal="left" vertical="center" wrapText="1"/>
    </xf>
    <xf numFmtId="0" fontId="99" fillId="0" borderId="14" xfId="0" applyFont="1" applyFill="1" applyBorder="1" applyAlignment="1">
      <alignment horizontal="left" vertical="center" wrapText="1"/>
    </xf>
    <xf numFmtId="0" fontId="99" fillId="0" borderId="16" xfId="0" applyFont="1" applyFill="1" applyBorder="1" applyAlignment="1">
      <alignment horizontal="left" vertical="center" wrapText="1"/>
    </xf>
    <xf numFmtId="0" fontId="98" fillId="0" borderId="15" xfId="0" applyFont="1" applyFill="1" applyBorder="1" applyAlignment="1">
      <alignment horizontal="left" vertical="center" wrapText="1"/>
    </xf>
    <xf numFmtId="0" fontId="98" fillId="0" borderId="14" xfId="0" applyFont="1" applyFill="1" applyBorder="1" applyAlignment="1">
      <alignment horizontal="left" vertical="center" wrapText="1"/>
    </xf>
    <xf numFmtId="0" fontId="98" fillId="0" borderId="16" xfId="0" applyFont="1" applyFill="1" applyBorder="1" applyAlignment="1">
      <alignment horizontal="left" vertical="center" wrapText="1"/>
    </xf>
    <xf numFmtId="0" fontId="105" fillId="0" borderId="15" xfId="0" applyFont="1" applyFill="1" applyBorder="1" applyAlignment="1">
      <alignment horizontal="left" vertical="center" wrapText="1"/>
    </xf>
    <xf numFmtId="0" fontId="105" fillId="0" borderId="14" xfId="0" applyFont="1" applyFill="1" applyBorder="1" applyAlignment="1">
      <alignment horizontal="left" vertical="center" wrapText="1"/>
    </xf>
    <xf numFmtId="0" fontId="105" fillId="0" borderId="16" xfId="0" applyFont="1" applyFill="1" applyBorder="1" applyAlignment="1">
      <alignment horizontal="left" vertical="center" wrapText="1"/>
    </xf>
    <xf numFmtId="0" fontId="98" fillId="0" borderId="3" xfId="0" applyFont="1" applyFill="1" applyBorder="1" applyAlignment="1">
      <alignment horizontal="left" vertical="center" wrapText="1"/>
    </xf>
    <xf numFmtId="0" fontId="105" fillId="0" borderId="15" xfId="0" applyFont="1" applyFill="1" applyBorder="1" applyAlignment="1" applyProtection="1">
      <alignment horizontal="left" vertical="center" wrapText="1"/>
      <protection locked="0"/>
    </xf>
    <xf numFmtId="0" fontId="105" fillId="0" borderId="14" xfId="0" applyFont="1" applyFill="1" applyBorder="1" applyAlignment="1" applyProtection="1">
      <alignment horizontal="left" vertical="center" wrapText="1"/>
      <protection locked="0"/>
    </xf>
    <xf numFmtId="0" fontId="105" fillId="0" borderId="16" xfId="0" applyFont="1" applyFill="1" applyBorder="1" applyAlignment="1" applyProtection="1">
      <alignment horizontal="left" vertical="center" wrapText="1"/>
      <protection locked="0"/>
    </xf>
    <xf numFmtId="0" fontId="74" fillId="0" borderId="3" xfId="0" applyFont="1" applyFill="1" applyBorder="1" applyAlignment="1">
      <alignment horizontal="center" vertical="center" wrapText="1"/>
    </xf>
    <xf numFmtId="49" fontId="105" fillId="0" borderId="15" xfId="0" applyNumberFormat="1" applyFont="1" applyFill="1" applyBorder="1" applyAlignment="1">
      <alignment horizontal="center" vertical="center" wrapText="1"/>
    </xf>
    <xf numFmtId="49" fontId="105" fillId="0" borderId="16" xfId="0" applyNumberFormat="1" applyFont="1" applyFill="1" applyBorder="1" applyAlignment="1">
      <alignment horizontal="center" vertical="center" wrapText="1"/>
    </xf>
    <xf numFmtId="3" fontId="74" fillId="0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Alignment="1">
      <alignment vertical="center" wrapText="1"/>
    </xf>
    <xf numFmtId="0" fontId="70" fillId="29" borderId="0" xfId="0" applyFont="1" applyFill="1" applyAlignment="1">
      <alignment vertical="center" wrapText="1"/>
    </xf>
    <xf numFmtId="178" fontId="69" fillId="29" borderId="14" xfId="0" applyNumberFormat="1" applyFont="1" applyFill="1" applyBorder="1" applyAlignment="1">
      <alignment horizontal="center" vertical="center" wrapText="1"/>
    </xf>
    <xf numFmtId="178" fontId="69" fillId="29" borderId="16" xfId="0" applyNumberFormat="1" applyFont="1" applyFill="1" applyBorder="1" applyAlignment="1">
      <alignment horizontal="center" vertical="center" wrapText="1"/>
    </xf>
    <xf numFmtId="49" fontId="69" fillId="29" borderId="22" xfId="0" applyNumberFormat="1" applyFont="1" applyFill="1" applyBorder="1" applyAlignment="1">
      <alignment horizontal="center" vertical="center" wrapText="1"/>
    </xf>
    <xf numFmtId="49" fontId="69" fillId="29" borderId="20" xfId="0" applyNumberFormat="1" applyFont="1" applyFill="1" applyBorder="1" applyAlignment="1">
      <alignment horizontal="center" vertical="center" wrapText="1"/>
    </xf>
    <xf numFmtId="49" fontId="69" fillId="29" borderId="17" xfId="0" applyNumberFormat="1" applyFont="1" applyFill="1" applyBorder="1" applyAlignment="1">
      <alignment horizontal="center" vertical="center" wrapText="1"/>
    </xf>
    <xf numFmtId="49" fontId="69" fillId="29" borderId="23" xfId="0" applyNumberFormat="1" applyFont="1" applyFill="1" applyBorder="1" applyAlignment="1">
      <alignment horizontal="center" vertical="center" wrapText="1"/>
    </xf>
    <xf numFmtId="49" fontId="69" fillId="29" borderId="0" xfId="0" applyNumberFormat="1" applyFont="1" applyFill="1" applyBorder="1" applyAlignment="1">
      <alignment horizontal="center" vertical="center" wrapText="1"/>
    </xf>
    <xf numFmtId="49" fontId="69" fillId="29" borderId="24" xfId="0" applyNumberFormat="1" applyFont="1" applyFill="1" applyBorder="1" applyAlignment="1">
      <alignment horizontal="center" vertical="center" wrapText="1"/>
    </xf>
    <xf numFmtId="49" fontId="69" fillId="29" borderId="21" xfId="0" applyNumberFormat="1" applyFont="1" applyFill="1" applyBorder="1" applyAlignment="1">
      <alignment horizontal="center" vertical="center" wrapText="1"/>
    </xf>
    <xf numFmtId="49" fontId="69" fillId="29" borderId="13" xfId="0" applyNumberFormat="1" applyFont="1" applyFill="1" applyBorder="1" applyAlignment="1">
      <alignment horizontal="center" vertical="center" wrapText="1"/>
    </xf>
    <xf numFmtId="49" fontId="69" fillId="29" borderId="25" xfId="0" applyNumberFormat="1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center" vertical="center" wrapText="1"/>
    </xf>
    <xf numFmtId="0" fontId="69" fillId="29" borderId="14" xfId="0" applyFont="1" applyFill="1" applyBorder="1" applyAlignment="1">
      <alignment horizontal="center" vertical="center" wrapText="1"/>
    </xf>
    <xf numFmtId="0" fontId="69" fillId="29" borderId="16" xfId="0" applyFont="1" applyFill="1" applyBorder="1" applyAlignment="1">
      <alignment horizontal="center" vertical="center" wrapText="1"/>
    </xf>
    <xf numFmtId="49" fontId="69" fillId="29" borderId="15" xfId="0" applyNumberFormat="1" applyFont="1" applyFill="1" applyBorder="1" applyAlignment="1">
      <alignment horizontal="left" vertical="center" wrapText="1"/>
    </xf>
    <xf numFmtId="49" fontId="69" fillId="29" borderId="14" xfId="0" applyNumberFormat="1" applyFont="1" applyFill="1" applyBorder="1" applyAlignment="1">
      <alignment horizontal="left" vertical="center" wrapText="1"/>
    </xf>
    <xf numFmtId="49" fontId="69" fillId="29" borderId="16" xfId="0" applyNumberFormat="1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 wrapText="1"/>
    </xf>
    <xf numFmtId="180" fontId="69" fillId="29" borderId="15" xfId="0" applyNumberFormat="1" applyFont="1" applyFill="1" applyBorder="1" applyAlignment="1">
      <alignment horizontal="right" wrapText="1"/>
    </xf>
    <xf numFmtId="180" fontId="69" fillId="29" borderId="14" xfId="0" applyNumberFormat="1" applyFont="1" applyFill="1" applyBorder="1" applyAlignment="1">
      <alignment horizontal="right" wrapText="1"/>
    </xf>
    <xf numFmtId="180" fontId="69" fillId="29" borderId="16" xfId="0" applyNumberFormat="1" applyFont="1" applyFill="1" applyBorder="1" applyAlignment="1">
      <alignment horizontal="right" wrapText="1"/>
    </xf>
    <xf numFmtId="0" fontId="5" fillId="29" borderId="0" xfId="0" applyFont="1" applyFill="1" applyAlignment="1">
      <alignment horizontal="center" vertical="center"/>
    </xf>
    <xf numFmtId="0" fontId="76" fillId="29" borderId="0" xfId="0" applyFont="1" applyFill="1" applyBorder="1" applyAlignment="1">
      <alignment horizontal="center" wrapText="1"/>
    </xf>
    <xf numFmtId="0" fontId="102" fillId="29" borderId="0" xfId="0" applyFont="1" applyFill="1" applyAlignment="1">
      <alignment horizontal="center"/>
    </xf>
    <xf numFmtId="0" fontId="74" fillId="29" borderId="0" xfId="0" applyFont="1" applyFill="1" applyBorder="1" applyAlignment="1">
      <alignment horizontal="center"/>
    </xf>
    <xf numFmtId="0" fontId="74" fillId="29" borderId="13" xfId="0" applyFont="1" applyFill="1" applyBorder="1" applyAlignment="1">
      <alignment horizontal="center"/>
    </xf>
    <xf numFmtId="49" fontId="74" fillId="29" borderId="3" xfId="0" applyNumberFormat="1" applyFont="1" applyFill="1" applyBorder="1" applyAlignment="1">
      <alignment horizontal="center" vertical="center" wrapText="1"/>
    </xf>
    <xf numFmtId="0" fontId="74" fillId="29" borderId="15" xfId="0" applyFont="1" applyFill="1" applyBorder="1" applyAlignment="1">
      <alignment horizontal="left" vertical="center" wrapText="1"/>
    </xf>
    <xf numFmtId="0" fontId="74" fillId="29" borderId="14" xfId="0" applyFont="1" applyFill="1" applyBorder="1" applyAlignment="1">
      <alignment horizontal="left" vertical="center" wrapText="1"/>
    </xf>
    <xf numFmtId="0" fontId="74" fillId="29" borderId="16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80" fontId="69" fillId="29" borderId="3" xfId="0" applyNumberFormat="1" applyFont="1" applyFill="1" applyBorder="1" applyAlignment="1">
      <alignment horizontal="center" vertical="center" wrapText="1"/>
    </xf>
    <xf numFmtId="180" fontId="74" fillId="29" borderId="3" xfId="0" applyNumberFormat="1" applyFont="1" applyFill="1" applyBorder="1" applyAlignment="1">
      <alignment horizontal="center" vertical="center" wrapText="1"/>
    </xf>
    <xf numFmtId="0" fontId="74" fillId="29" borderId="0" xfId="0" applyFont="1" applyFill="1" applyAlignment="1">
      <alignment horizontal="right" vertical="center" wrapText="1"/>
    </xf>
    <xf numFmtId="0" fontId="77" fillId="29" borderId="0" xfId="0" applyFont="1" applyFill="1" applyAlignment="1">
      <alignment horizontal="right" vertical="center" wrapText="1"/>
    </xf>
    <xf numFmtId="49" fontId="74" fillId="29" borderId="3" xfId="0" applyNumberFormat="1" applyFont="1" applyFill="1" applyBorder="1" applyAlignment="1">
      <alignment horizontal="left" vertical="center" wrapText="1"/>
    </xf>
    <xf numFmtId="180" fontId="74" fillId="29" borderId="15" xfId="0" applyNumberFormat="1" applyFont="1" applyFill="1" applyBorder="1" applyAlignment="1">
      <alignment horizontal="center" vertical="center" wrapText="1"/>
    </xf>
    <xf numFmtId="180" fontId="74" fillId="29" borderId="14" xfId="0" applyNumberFormat="1" applyFont="1" applyFill="1" applyBorder="1" applyAlignment="1">
      <alignment horizontal="center" vertical="center" wrapText="1"/>
    </xf>
    <xf numFmtId="180" fontId="74" fillId="29" borderId="16" xfId="0" applyNumberFormat="1" applyFont="1" applyFill="1" applyBorder="1" applyAlignment="1">
      <alignment horizontal="center" vertical="center" wrapText="1"/>
    </xf>
    <xf numFmtId="0" fontId="69" fillId="29" borderId="13" xfId="0" applyFont="1" applyFill="1" applyBorder="1" applyAlignment="1">
      <alignment horizontal="left" vertical="center" wrapText="1"/>
    </xf>
    <xf numFmtId="0" fontId="70" fillId="29" borderId="13" xfId="0" applyFont="1" applyFill="1" applyBorder="1" applyAlignment="1">
      <alignment horizontal="left" vertical="center" wrapText="1"/>
    </xf>
    <xf numFmtId="180" fontId="69" fillId="29" borderId="15" xfId="0" applyNumberFormat="1" applyFont="1" applyFill="1" applyBorder="1" applyAlignment="1">
      <alignment horizontal="center" vertical="center" wrapText="1"/>
    </xf>
    <xf numFmtId="180" fontId="69" fillId="29" borderId="16" xfId="0" applyNumberFormat="1" applyFont="1" applyFill="1" applyBorder="1" applyAlignment="1">
      <alignment horizontal="center" vertical="center" wrapText="1"/>
    </xf>
    <xf numFmtId="0" fontId="69" fillId="29" borderId="49" xfId="0" applyFont="1" applyFill="1" applyBorder="1" applyAlignment="1">
      <alignment horizontal="center" vertical="center" wrapText="1" shrinkToFit="1"/>
    </xf>
    <xf numFmtId="0" fontId="69" fillId="29" borderId="22" xfId="0" applyFont="1" applyFill="1" applyBorder="1" applyAlignment="1">
      <alignment horizontal="center" vertical="center" wrapText="1"/>
    </xf>
    <xf numFmtId="0" fontId="69" fillId="29" borderId="20" xfId="0" applyFont="1" applyFill="1" applyBorder="1" applyAlignment="1">
      <alignment horizontal="center" vertical="center" wrapText="1"/>
    </xf>
    <xf numFmtId="0" fontId="69" fillId="29" borderId="17" xfId="0" applyFont="1" applyFill="1" applyBorder="1" applyAlignment="1">
      <alignment horizontal="center" vertical="center" wrapText="1"/>
    </xf>
    <xf numFmtId="0" fontId="69" fillId="29" borderId="23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 wrapText="1"/>
    </xf>
    <xf numFmtId="0" fontId="69" fillId="29" borderId="24" xfId="0" applyFont="1" applyFill="1" applyBorder="1" applyAlignment="1">
      <alignment horizontal="center" vertical="center" wrapText="1"/>
    </xf>
    <xf numFmtId="0" fontId="69" fillId="29" borderId="21" xfId="0" applyFont="1" applyFill="1" applyBorder="1" applyAlignment="1">
      <alignment horizontal="center" vertical="center" wrapText="1"/>
    </xf>
    <xf numFmtId="0" fontId="69" fillId="29" borderId="13" xfId="0" applyFont="1" applyFill="1" applyBorder="1" applyAlignment="1">
      <alignment horizontal="center" vertical="center" wrapText="1"/>
    </xf>
    <xf numFmtId="0" fontId="69" fillId="29" borderId="25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3" fontId="74" fillId="0" borderId="15" xfId="0" applyNumberFormat="1" applyFont="1" applyFill="1" applyBorder="1" applyAlignment="1">
      <alignment horizontal="left" vertical="center" wrapText="1"/>
    </xf>
    <xf numFmtId="3" fontId="74" fillId="0" borderId="14" xfId="0" applyNumberFormat="1" applyFont="1" applyFill="1" applyBorder="1" applyAlignment="1">
      <alignment horizontal="left" vertical="center" wrapText="1"/>
    </xf>
    <xf numFmtId="3" fontId="74" fillId="0" borderId="16" xfId="0" applyNumberFormat="1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3" fontId="69" fillId="29" borderId="15" xfId="0" applyNumberFormat="1" applyFont="1" applyFill="1" applyBorder="1" applyAlignment="1">
      <alignment horizontal="center" vertical="center" wrapText="1" shrinkToFit="1"/>
    </xf>
    <xf numFmtId="3" fontId="69" fillId="29" borderId="16" xfId="0" applyNumberFormat="1" applyFont="1" applyFill="1" applyBorder="1" applyAlignment="1">
      <alignment horizontal="center" vertical="center" wrapText="1" shrinkToFit="1"/>
    </xf>
    <xf numFmtId="0" fontId="74" fillId="29" borderId="15" xfId="0" applyFont="1" applyFill="1" applyBorder="1" applyAlignment="1">
      <alignment horizontal="center" vertical="center" wrapText="1" shrinkToFit="1"/>
    </xf>
    <xf numFmtId="0" fontId="74" fillId="29" borderId="16" xfId="0" applyFont="1" applyFill="1" applyBorder="1" applyAlignment="1">
      <alignment horizontal="center" vertical="center" wrapText="1" shrinkToFit="1"/>
    </xf>
    <xf numFmtId="49" fontId="69" fillId="0" borderId="15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6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7" fillId="0" borderId="15" xfId="0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6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center" vertical="center"/>
    </xf>
    <xf numFmtId="0" fontId="69" fillId="29" borderId="14" xfId="0" applyFont="1" applyFill="1" applyBorder="1" applyAlignment="1">
      <alignment horizontal="center" vertical="center"/>
    </xf>
    <xf numFmtId="0" fontId="69" fillId="29" borderId="16" xfId="0" applyFont="1" applyFill="1" applyBorder="1" applyAlignment="1">
      <alignment horizontal="center" vertical="center"/>
    </xf>
    <xf numFmtId="49" fontId="69" fillId="29" borderId="3" xfId="0" applyNumberFormat="1" applyFont="1" applyFill="1" applyBorder="1" applyAlignment="1">
      <alignment horizontal="center" vertical="center" wrapText="1"/>
    </xf>
    <xf numFmtId="49" fontId="69" fillId="29" borderId="3" xfId="0" applyNumberFormat="1" applyFont="1" applyFill="1" applyBorder="1" applyAlignment="1">
      <alignment horizontal="left" vertical="center" wrapText="1"/>
    </xf>
    <xf numFmtId="179" fontId="69" fillId="29" borderId="15" xfId="0" applyNumberFormat="1" applyFont="1" applyFill="1" applyBorder="1" applyAlignment="1">
      <alignment horizontal="center" vertical="center" wrapText="1"/>
    </xf>
    <xf numFmtId="179" fontId="69" fillId="29" borderId="14" xfId="0" applyNumberFormat="1" applyFont="1" applyFill="1" applyBorder="1" applyAlignment="1">
      <alignment horizontal="center" vertical="center" wrapText="1"/>
    </xf>
    <xf numFmtId="179" fontId="69" fillId="29" borderId="16" xfId="0" applyNumberFormat="1" applyFont="1" applyFill="1" applyBorder="1" applyAlignment="1">
      <alignment horizontal="center" vertical="center" wrapText="1"/>
    </xf>
    <xf numFmtId="180" fontId="69" fillId="29" borderId="14" xfId="0" applyNumberFormat="1" applyFont="1" applyFill="1" applyBorder="1" applyAlignment="1">
      <alignment horizontal="center" vertical="center" wrapText="1"/>
    </xf>
    <xf numFmtId="0" fontId="74" fillId="29" borderId="15" xfId="0" applyFont="1" applyFill="1" applyBorder="1" applyAlignment="1">
      <alignment horizontal="center" vertical="center" wrapText="1"/>
    </xf>
    <xf numFmtId="0" fontId="74" fillId="29" borderId="14" xfId="0" applyFont="1" applyFill="1" applyBorder="1" applyAlignment="1">
      <alignment horizontal="center" vertical="center" wrapText="1"/>
    </xf>
    <xf numFmtId="0" fontId="74" fillId="29" borderId="16" xfId="0" applyFont="1" applyFill="1" applyBorder="1" applyAlignment="1">
      <alignment horizontal="center" vertical="center" wrapText="1"/>
    </xf>
    <xf numFmtId="179" fontId="74" fillId="29" borderId="15" xfId="0" applyNumberFormat="1" applyFont="1" applyFill="1" applyBorder="1" applyAlignment="1">
      <alignment horizontal="center" vertical="center" wrapText="1"/>
    </xf>
    <xf numFmtId="179" fontId="74" fillId="29" borderId="14" xfId="0" applyNumberFormat="1" applyFont="1" applyFill="1" applyBorder="1" applyAlignment="1">
      <alignment horizontal="center" vertical="center" wrapText="1"/>
    </xf>
    <xf numFmtId="179" fontId="74" fillId="29" borderId="16" xfId="0" applyNumberFormat="1" applyFont="1" applyFill="1" applyBorder="1" applyAlignment="1">
      <alignment horizontal="center" vertical="center" wrapText="1"/>
    </xf>
    <xf numFmtId="178" fontId="74" fillId="29" borderId="14" xfId="0" applyNumberFormat="1" applyFont="1" applyFill="1" applyBorder="1" applyAlignment="1">
      <alignment horizontal="center" vertical="center" wrapText="1"/>
    </xf>
    <xf numFmtId="178" fontId="74" fillId="29" borderId="16" xfId="0" applyNumberFormat="1" applyFont="1" applyFill="1" applyBorder="1" applyAlignment="1">
      <alignment horizontal="center" vertical="center" wrapText="1"/>
    </xf>
    <xf numFmtId="178" fontId="74" fillId="29" borderId="15" xfId="0" applyNumberFormat="1" applyFont="1" applyFill="1" applyBorder="1" applyAlignment="1">
      <alignment horizontal="center" vertical="center" wrapText="1"/>
    </xf>
    <xf numFmtId="178" fontId="69" fillId="29" borderId="15" xfId="0" applyNumberFormat="1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center" vertical="top"/>
    </xf>
    <xf numFmtId="0" fontId="80" fillId="29" borderId="0" xfId="0" applyFont="1" applyFill="1" applyAlignment="1">
      <alignment horizontal="center" vertical="top"/>
    </xf>
    <xf numFmtId="171" fontId="5" fillId="29" borderId="0" xfId="0" applyNumberFormat="1" applyFont="1" applyFill="1" applyBorder="1" applyAlignment="1">
      <alignment horizontal="center" wrapText="1"/>
    </xf>
    <xf numFmtId="171" fontId="5" fillId="29" borderId="0" xfId="0" quotePrefix="1" applyNumberFormat="1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80" fillId="0" borderId="20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4" fillId="0" borderId="27" xfId="0" applyFont="1" applyBorder="1" applyAlignment="1">
      <alignment horizontal="center"/>
    </xf>
    <xf numFmtId="0" fontId="94" fillId="0" borderId="28" xfId="0" applyFont="1" applyBorder="1" applyAlignment="1">
      <alignment horizontal="center"/>
    </xf>
    <xf numFmtId="0" fontId="94" fillId="0" borderId="29" xfId="0" applyFont="1" applyBorder="1" applyAlignment="1">
      <alignment horizontal="center"/>
    </xf>
    <xf numFmtId="0" fontId="94" fillId="0" borderId="27" xfId="0" applyFont="1" applyBorder="1" applyAlignment="1">
      <alignment horizontal="center" wrapText="1"/>
    </xf>
    <xf numFmtId="0" fontId="94" fillId="0" borderId="28" xfId="0" applyFont="1" applyBorder="1" applyAlignment="1">
      <alignment horizontal="center" wrapText="1"/>
    </xf>
    <xf numFmtId="0" fontId="94" fillId="0" borderId="29" xfId="0" applyFont="1" applyBorder="1" applyAlignment="1">
      <alignment horizontal="center" wrapText="1"/>
    </xf>
    <xf numFmtId="14" fontId="95" fillId="0" borderId="27" xfId="0" applyNumberFormat="1" applyFont="1" applyBorder="1" applyAlignment="1">
      <alignment horizontal="center"/>
    </xf>
    <xf numFmtId="14" fontId="95" fillId="0" borderId="28" xfId="0" applyNumberFormat="1" applyFont="1" applyBorder="1" applyAlignment="1">
      <alignment horizontal="center"/>
    </xf>
    <xf numFmtId="14" fontId="95" fillId="0" borderId="29" xfId="0" applyNumberFormat="1" applyFont="1" applyBorder="1" applyAlignment="1">
      <alignment horizontal="center"/>
    </xf>
    <xf numFmtId="9" fontId="94" fillId="0" borderId="27" xfId="0" applyNumberFormat="1" applyFont="1" applyBorder="1" applyAlignment="1">
      <alignment horizontal="center"/>
    </xf>
    <xf numFmtId="9" fontId="94" fillId="0" borderId="28" xfId="0" applyNumberFormat="1" applyFont="1" applyBorder="1" applyAlignment="1">
      <alignment horizontal="center"/>
    </xf>
    <xf numFmtId="9" fontId="94" fillId="0" borderId="29" xfId="0" applyNumberFormat="1" applyFont="1" applyBorder="1" applyAlignment="1">
      <alignment horizontal="center"/>
    </xf>
    <xf numFmtId="171" fontId="80" fillId="29" borderId="0" xfId="0" applyNumberFormat="1" applyFont="1" applyFill="1" applyBorder="1" applyAlignment="1">
      <alignment horizontal="center" wrapText="1"/>
    </xf>
    <xf numFmtId="0" fontId="82" fillId="29" borderId="0" xfId="0" applyFont="1" applyFill="1" applyBorder="1" applyAlignment="1">
      <alignment horizontal="center" wrapText="1"/>
    </xf>
    <xf numFmtId="0" fontId="81" fillId="0" borderId="34" xfId="0" applyFont="1" applyBorder="1" applyAlignment="1">
      <alignment horizont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Users\NosarivskaTO\Desktop\&#1052;&#1086;&#1080;%20&#1076;&#1086;&#1082;&#1091;&#1084;&#1077;&#1085;&#1090;&#1080;\&#1060;&#1110;&#1085;&#1087;&#1083;&#1072;&#1085;\&#1060;&#1110;&#1085;&#1087;&#1083;&#1072;&#1085;%202022\&#1045;&#1082;&#1086;&#1042;&#1110;&#1085;\&#1060;&#1055;%20&#8470;____%20&#1074;&#1110;&#1076;%20.01.2022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85"/>
  <sheetViews>
    <sheetView view="pageBreakPreview" topLeftCell="A34" zoomScale="75" zoomScaleNormal="75" zoomScaleSheetLayoutView="75" workbookViewId="0">
      <selection activeCell="S23" sqref="S23"/>
    </sheetView>
  </sheetViews>
  <sheetFormatPr defaultColWidth="9.109375" defaultRowHeight="21"/>
  <cols>
    <col min="1" max="1" width="73.33203125" style="358" customWidth="1"/>
    <col min="2" max="2" width="15.33203125" style="366" customWidth="1"/>
    <col min="3" max="5" width="18" style="366" customWidth="1"/>
    <col min="6" max="6" width="20" style="358" customWidth="1"/>
    <col min="7" max="9" width="20.5546875" style="358" customWidth="1"/>
    <col min="10" max="10" width="18.109375" style="358" hidden="1" customWidth="1"/>
    <col min="11" max="11" width="10" style="358" customWidth="1"/>
    <col min="12" max="12" width="12.88671875" style="358" customWidth="1"/>
    <col min="13" max="14" width="9.109375" style="358" customWidth="1"/>
    <col min="15" max="15" width="10.5546875" style="358" customWidth="1"/>
    <col min="16" max="16384" width="9.109375" style="358"/>
  </cols>
  <sheetData>
    <row r="1" spans="1:10" ht="18.75" customHeight="1">
      <c r="A1" s="503"/>
      <c r="B1" s="504"/>
      <c r="D1" s="358"/>
      <c r="E1" s="358"/>
      <c r="G1" s="476" t="s">
        <v>517</v>
      </c>
      <c r="H1" s="476"/>
      <c r="I1" s="476"/>
      <c r="J1" s="476"/>
    </row>
    <row r="2" spans="1:10">
      <c r="A2" s="504"/>
      <c r="B2" s="504"/>
      <c r="D2" s="358"/>
      <c r="E2" s="358"/>
      <c r="G2" s="476" t="s">
        <v>423</v>
      </c>
      <c r="H2" s="476"/>
      <c r="I2" s="476"/>
      <c r="J2" s="476"/>
    </row>
    <row r="3" spans="1:10" ht="29.25" customHeight="1">
      <c r="A3" s="504"/>
      <c r="B3" s="504"/>
      <c r="D3" s="359"/>
      <c r="E3" s="359"/>
      <c r="F3" s="359"/>
      <c r="G3" s="476" t="s">
        <v>424</v>
      </c>
      <c r="H3" s="476"/>
      <c r="I3" s="476"/>
      <c r="J3" s="476"/>
    </row>
    <row r="4" spans="1:10" ht="18.75" customHeight="1">
      <c r="A4" s="504"/>
      <c r="B4" s="504"/>
      <c r="D4" s="359"/>
      <c r="E4" s="359"/>
      <c r="F4" s="359"/>
      <c r="G4" s="472"/>
      <c r="H4" s="472"/>
      <c r="I4" s="472"/>
      <c r="J4" s="472"/>
    </row>
    <row r="5" spans="1:10" ht="18.75" hidden="1" customHeight="1">
      <c r="A5" s="504"/>
      <c r="B5" s="504"/>
      <c r="D5" s="359"/>
      <c r="E5" s="359"/>
      <c r="F5" s="359"/>
      <c r="G5" s="476"/>
      <c r="H5" s="476"/>
      <c r="I5" s="360"/>
      <c r="J5" s="360"/>
    </row>
    <row r="6" spans="1:10" ht="18.75" customHeight="1">
      <c r="A6" s="504"/>
      <c r="B6" s="504"/>
      <c r="D6" s="359"/>
      <c r="E6" s="359"/>
      <c r="F6" s="359"/>
      <c r="G6" s="360"/>
      <c r="H6" s="360"/>
      <c r="I6" s="360"/>
      <c r="J6" s="360"/>
    </row>
    <row r="7" spans="1:10" ht="18.75" customHeight="1">
      <c r="A7" s="366"/>
      <c r="D7" s="359"/>
      <c r="E7" s="359"/>
      <c r="F7" s="359"/>
      <c r="G7" s="360"/>
      <c r="H7" s="360"/>
      <c r="I7" s="360"/>
      <c r="J7" s="360"/>
    </row>
    <row r="8" spans="1:10" ht="18.75" customHeight="1">
      <c r="D8" s="359"/>
      <c r="E8" s="359"/>
      <c r="F8" s="359"/>
      <c r="G8" s="476"/>
      <c r="H8" s="476"/>
      <c r="I8" s="476"/>
      <c r="J8" s="476"/>
    </row>
    <row r="9" spans="1:10" ht="18.75" customHeight="1">
      <c r="A9" s="358" t="s">
        <v>323</v>
      </c>
      <c r="B9" s="359"/>
      <c r="F9" s="361"/>
      <c r="G9" s="508" t="s">
        <v>98</v>
      </c>
      <c r="H9" s="508"/>
      <c r="I9" s="508"/>
      <c r="J9" s="508"/>
    </row>
    <row r="10" spans="1:10" ht="24" customHeight="1">
      <c r="A10" s="358" t="s">
        <v>681</v>
      </c>
      <c r="B10" s="359"/>
      <c r="C10" s="367"/>
      <c r="D10" s="361"/>
      <c r="E10" s="361"/>
      <c r="F10" s="361"/>
      <c r="G10" s="505"/>
      <c r="H10" s="505"/>
      <c r="I10" s="505"/>
      <c r="J10" s="505"/>
    </row>
    <row r="11" spans="1:10" ht="7.5" customHeight="1">
      <c r="A11" s="506"/>
      <c r="B11" s="507"/>
      <c r="C11" s="362"/>
      <c r="D11" s="362"/>
      <c r="E11" s="362"/>
      <c r="F11" s="363"/>
      <c r="G11" s="364"/>
      <c r="H11" s="364"/>
      <c r="I11" s="364"/>
      <c r="J11" s="364"/>
    </row>
    <row r="12" spans="1:10" ht="20.25" customHeight="1">
      <c r="A12" s="360"/>
      <c r="D12" s="358"/>
      <c r="E12" s="358"/>
      <c r="F12" s="29"/>
      <c r="G12" s="505"/>
      <c r="H12" s="505"/>
      <c r="I12" s="505"/>
      <c r="J12" s="505"/>
    </row>
    <row r="13" spans="1:10" ht="19.5" customHeight="1">
      <c r="A13" s="251"/>
      <c r="B13" s="365" t="s">
        <v>682</v>
      </c>
      <c r="F13" s="359"/>
      <c r="G13" s="364"/>
      <c r="H13" s="364"/>
      <c r="I13" s="364"/>
      <c r="J13" s="364"/>
    </row>
    <row r="14" spans="1:10" ht="19.5" customHeight="1">
      <c r="A14" s="478" t="s">
        <v>291</v>
      </c>
      <c r="B14" s="478"/>
      <c r="F14" s="359"/>
      <c r="G14" s="505"/>
      <c r="H14" s="505"/>
      <c r="I14" s="505"/>
      <c r="J14" s="505"/>
    </row>
    <row r="15" spans="1:10" ht="19.5" customHeight="1">
      <c r="A15" s="502"/>
      <c r="B15" s="502"/>
      <c r="C15" s="367"/>
      <c r="D15" s="359"/>
      <c r="E15" s="359"/>
      <c r="F15" s="359"/>
      <c r="G15" s="505"/>
      <c r="H15" s="505"/>
      <c r="I15" s="505"/>
      <c r="J15" s="505"/>
    </row>
    <row r="16" spans="1:10" ht="16.5" customHeight="1">
      <c r="A16" s="478"/>
      <c r="B16" s="478"/>
      <c r="C16" s="367"/>
      <c r="D16" s="359"/>
      <c r="E16" s="359"/>
      <c r="F16" s="359"/>
      <c r="G16" s="360"/>
      <c r="H16" s="360"/>
      <c r="I16" s="360"/>
      <c r="J16" s="360"/>
    </row>
    <row r="17" spans="1:10" ht="16.5" customHeight="1">
      <c r="A17" s="366"/>
      <c r="C17" s="367"/>
      <c r="D17" s="359"/>
      <c r="E17" s="359"/>
      <c r="F17" s="359"/>
      <c r="G17" s="360"/>
      <c r="H17" s="360"/>
      <c r="I17" s="360"/>
      <c r="J17" s="360"/>
    </row>
    <row r="18" spans="1:10" ht="18.75" customHeight="1">
      <c r="A18" s="476" t="s">
        <v>324</v>
      </c>
      <c r="B18" s="476"/>
      <c r="D18" s="359"/>
      <c r="E18" s="359"/>
      <c r="F18" s="359"/>
      <c r="G18" s="476" t="s">
        <v>324</v>
      </c>
      <c r="H18" s="476"/>
      <c r="I18" s="476"/>
      <c r="J18" s="476"/>
    </row>
    <row r="19" spans="1:10" ht="15.75" customHeight="1">
      <c r="D19" s="359"/>
      <c r="E19" s="359"/>
      <c r="F19" s="359"/>
      <c r="I19" s="366"/>
      <c r="J19" s="366"/>
    </row>
    <row r="20" spans="1:10" ht="27.75" customHeight="1">
      <c r="A20" s="472" t="s">
        <v>684</v>
      </c>
      <c r="B20" s="472"/>
      <c r="C20" s="472"/>
      <c r="E20" s="366" t="s">
        <v>325</v>
      </c>
      <c r="F20" s="361"/>
      <c r="G20" s="477" t="s">
        <v>493</v>
      </c>
      <c r="H20" s="477"/>
      <c r="I20" s="477"/>
      <c r="J20" s="366"/>
    </row>
    <row r="21" spans="1:10">
      <c r="A21" s="480"/>
      <c r="B21" s="480"/>
      <c r="F21" s="29"/>
      <c r="G21" s="368"/>
      <c r="H21" s="368"/>
      <c r="I21" s="368"/>
    </row>
    <row r="22" spans="1:10" ht="21.75" customHeight="1">
      <c r="A22" s="473" t="s">
        <v>685</v>
      </c>
      <c r="B22" s="474"/>
      <c r="F22" s="29"/>
      <c r="G22" s="473" t="s">
        <v>656</v>
      </c>
      <c r="H22" s="473"/>
      <c r="I22" s="473"/>
      <c r="J22" s="473"/>
    </row>
    <row r="23" spans="1:10" ht="22.5" customHeight="1">
      <c r="A23" s="478" t="s">
        <v>291</v>
      </c>
      <c r="B23" s="478"/>
      <c r="F23" s="29"/>
      <c r="G23" s="479" t="s">
        <v>291</v>
      </c>
      <c r="H23" s="479"/>
      <c r="I23" s="479"/>
      <c r="J23" s="479"/>
    </row>
    <row r="24" spans="1:10" ht="15.75" customHeight="1">
      <c r="G24" s="472"/>
      <c r="H24" s="472"/>
      <c r="I24" s="472"/>
      <c r="J24" s="472"/>
    </row>
    <row r="25" spans="1:10">
      <c r="C25" s="369"/>
      <c r="D25" s="370"/>
      <c r="E25" s="370"/>
      <c r="F25" s="29"/>
      <c r="G25" s="472"/>
      <c r="H25" s="472"/>
      <c r="I25" s="472"/>
      <c r="J25" s="472"/>
    </row>
    <row r="26" spans="1:10" ht="18" hidden="1" customHeight="1">
      <c r="B26" s="371"/>
      <c r="C26" s="369"/>
      <c r="D26" s="370"/>
      <c r="E26" s="370"/>
      <c r="F26" s="29"/>
      <c r="G26" s="372"/>
      <c r="H26" s="372"/>
      <c r="I26" s="372"/>
      <c r="J26" s="372"/>
    </row>
    <row r="27" spans="1:10" ht="21" hidden="1" customHeight="1">
      <c r="B27" s="358"/>
      <c r="C27" s="367"/>
      <c r="D27" s="372"/>
      <c r="E27" s="372"/>
      <c r="F27" s="372"/>
    </row>
    <row r="28" spans="1:10" ht="2.25" customHeight="1">
      <c r="B28" s="358"/>
      <c r="C28" s="367"/>
      <c r="D28" s="372"/>
      <c r="E28" s="372"/>
      <c r="F28" s="372"/>
    </row>
    <row r="29" spans="1:10" ht="21" hidden="1" customHeight="1">
      <c r="B29" s="358"/>
      <c r="C29" s="367"/>
      <c r="D29" s="372"/>
      <c r="E29" s="372"/>
      <c r="F29" s="372"/>
      <c r="H29" s="373"/>
      <c r="I29" s="373"/>
      <c r="J29" s="373"/>
    </row>
    <row r="30" spans="1:10">
      <c r="B30" s="367"/>
      <c r="C30" s="367"/>
      <c r="D30" s="367"/>
      <c r="E30" s="367"/>
      <c r="F30" s="367"/>
      <c r="G30" s="366"/>
      <c r="H30" s="366"/>
      <c r="I30" s="366"/>
      <c r="J30" s="366"/>
    </row>
    <row r="31" spans="1:10" ht="25.5" customHeight="1">
      <c r="A31" s="374"/>
      <c r="B31" s="475"/>
      <c r="C31" s="475"/>
      <c r="D31" s="475"/>
      <c r="E31" s="475"/>
      <c r="F31" s="475"/>
      <c r="G31" s="375"/>
      <c r="H31" s="376">
        <v>2023</v>
      </c>
      <c r="I31" s="300" t="s">
        <v>102</v>
      </c>
      <c r="J31" s="249" t="s">
        <v>158</v>
      </c>
    </row>
    <row r="32" spans="1:10" ht="24.75" customHeight="1">
      <c r="A32" s="416" t="s">
        <v>13</v>
      </c>
      <c r="B32" s="475" t="s">
        <v>425</v>
      </c>
      <c r="C32" s="475"/>
      <c r="D32" s="475"/>
      <c r="E32" s="475"/>
      <c r="F32" s="475"/>
      <c r="G32" s="377"/>
      <c r="H32" s="378">
        <v>33810743</v>
      </c>
      <c r="I32" s="303" t="s">
        <v>101</v>
      </c>
      <c r="J32" s="249"/>
    </row>
    <row r="33" spans="1:10" ht="24.75" customHeight="1">
      <c r="A33" s="416" t="s">
        <v>14</v>
      </c>
      <c r="B33" s="475" t="s">
        <v>491</v>
      </c>
      <c r="C33" s="475"/>
      <c r="D33" s="475"/>
      <c r="E33" s="475"/>
      <c r="F33" s="475"/>
      <c r="G33" s="377"/>
      <c r="H33" s="378">
        <v>150</v>
      </c>
      <c r="I33" s="303" t="s">
        <v>100</v>
      </c>
      <c r="J33" s="249"/>
    </row>
    <row r="34" spans="1:10" ht="24.75" customHeight="1">
      <c r="A34" s="416" t="s">
        <v>19</v>
      </c>
      <c r="B34" s="475" t="s">
        <v>680</v>
      </c>
      <c r="C34" s="475"/>
      <c r="D34" s="475"/>
      <c r="E34" s="475"/>
      <c r="F34" s="475"/>
      <c r="G34" s="377"/>
      <c r="H34" s="378">
        <v>510136600</v>
      </c>
      <c r="I34" s="303" t="s">
        <v>99</v>
      </c>
      <c r="J34" s="249"/>
    </row>
    <row r="35" spans="1:10" ht="24.75" customHeight="1">
      <c r="A35" s="416" t="s">
        <v>573</v>
      </c>
      <c r="B35" s="475" t="s">
        <v>490</v>
      </c>
      <c r="C35" s="475"/>
      <c r="D35" s="475"/>
      <c r="E35" s="475"/>
      <c r="F35" s="475"/>
      <c r="G35" s="475"/>
      <c r="H35" s="378"/>
      <c r="I35" s="303" t="s">
        <v>9</v>
      </c>
      <c r="J35" s="249"/>
    </row>
    <row r="36" spans="1:10" ht="24.75" customHeight="1">
      <c r="A36" s="416" t="s">
        <v>16</v>
      </c>
      <c r="B36" s="475" t="s">
        <v>494</v>
      </c>
      <c r="C36" s="475"/>
      <c r="D36" s="475"/>
      <c r="E36" s="475"/>
      <c r="F36" s="475"/>
      <c r="G36" s="377"/>
      <c r="H36" s="378"/>
      <c r="I36" s="303" t="s">
        <v>8</v>
      </c>
      <c r="J36" s="249"/>
    </row>
    <row r="37" spans="1:10" ht="24.75" customHeight="1">
      <c r="A37" s="416" t="s">
        <v>15</v>
      </c>
      <c r="B37" s="475" t="s">
        <v>492</v>
      </c>
      <c r="C37" s="475"/>
      <c r="D37" s="475"/>
      <c r="E37" s="475"/>
      <c r="F37" s="475"/>
      <c r="G37" s="377"/>
      <c r="H37" s="379" t="s">
        <v>428</v>
      </c>
      <c r="I37" s="303" t="s">
        <v>10</v>
      </c>
      <c r="J37" s="249"/>
    </row>
    <row r="38" spans="1:10" ht="24.75" customHeight="1">
      <c r="A38" s="416" t="s">
        <v>601</v>
      </c>
      <c r="B38" s="475" t="s">
        <v>403</v>
      </c>
      <c r="C38" s="475"/>
      <c r="D38" s="475"/>
      <c r="E38" s="475"/>
      <c r="F38" s="500" t="s">
        <v>129</v>
      </c>
      <c r="G38" s="500"/>
      <c r="H38" s="501"/>
      <c r="I38" s="303" t="s">
        <v>30</v>
      </c>
      <c r="J38" s="249"/>
    </row>
    <row r="39" spans="1:10" ht="24.75" customHeight="1">
      <c r="A39" s="416" t="s">
        <v>20</v>
      </c>
      <c r="B39" s="475" t="s">
        <v>426</v>
      </c>
      <c r="C39" s="475"/>
      <c r="D39" s="475"/>
      <c r="E39" s="475"/>
      <c r="F39" s="475"/>
      <c r="G39" s="482" t="s">
        <v>130</v>
      </c>
      <c r="H39" s="483"/>
      <c r="I39" s="303"/>
      <c r="J39" s="249"/>
    </row>
    <row r="40" spans="1:10" ht="24.75" customHeight="1">
      <c r="A40" s="416" t="s">
        <v>85</v>
      </c>
      <c r="B40" s="499">
        <v>214</v>
      </c>
      <c r="C40" s="499"/>
      <c r="D40" s="499"/>
      <c r="E40" s="499"/>
      <c r="F40" s="499"/>
      <c r="G40" s="377"/>
      <c r="H40" s="378"/>
      <c r="I40" s="303"/>
      <c r="J40" s="249"/>
    </row>
    <row r="41" spans="1:10" ht="24.75" customHeight="1">
      <c r="A41" s="416" t="s">
        <v>322</v>
      </c>
      <c r="B41" s="475" t="s">
        <v>630</v>
      </c>
      <c r="C41" s="475"/>
      <c r="D41" s="475"/>
      <c r="E41" s="475"/>
      <c r="F41" s="475"/>
      <c r="G41" s="377"/>
      <c r="H41" s="378"/>
      <c r="I41" s="303"/>
      <c r="J41" s="249"/>
    </row>
    <row r="42" spans="1:10" ht="24.75" customHeight="1">
      <c r="A42" s="416" t="s">
        <v>11</v>
      </c>
      <c r="B42" s="475">
        <v>578855</v>
      </c>
      <c r="C42" s="475"/>
      <c r="D42" s="475"/>
      <c r="E42" s="475"/>
      <c r="F42" s="475"/>
      <c r="G42" s="377"/>
      <c r="H42" s="378"/>
      <c r="I42" s="303"/>
      <c r="J42" s="249"/>
    </row>
    <row r="43" spans="1:10" ht="24.75" customHeight="1">
      <c r="A43" s="416" t="s">
        <v>12</v>
      </c>
      <c r="B43" s="475" t="s">
        <v>427</v>
      </c>
      <c r="C43" s="475"/>
      <c r="D43" s="475"/>
      <c r="E43" s="475"/>
      <c r="F43" s="475"/>
      <c r="G43" s="377"/>
      <c r="H43" s="378"/>
      <c r="I43" s="303"/>
      <c r="J43" s="249"/>
    </row>
    <row r="44" spans="1:10" ht="48" customHeight="1">
      <c r="A44" s="498" t="s">
        <v>679</v>
      </c>
      <c r="B44" s="497"/>
      <c r="C44" s="497"/>
      <c r="D44" s="497"/>
      <c r="E44" s="497"/>
      <c r="F44" s="497"/>
      <c r="G44" s="497"/>
      <c r="H44" s="497"/>
      <c r="I44" s="497"/>
      <c r="J44" s="497"/>
    </row>
    <row r="45" spans="1:10" ht="30" customHeight="1">
      <c r="A45" s="497" t="s">
        <v>137</v>
      </c>
      <c r="B45" s="497"/>
      <c r="C45" s="497"/>
      <c r="D45" s="497"/>
      <c r="E45" s="497"/>
      <c r="F45" s="497"/>
      <c r="G45" s="497"/>
      <c r="H45" s="497"/>
      <c r="I45" s="497"/>
      <c r="J45" s="497"/>
    </row>
    <row r="46" spans="1:10" ht="23.25" customHeight="1">
      <c r="B46" s="361"/>
      <c r="C46" s="367"/>
      <c r="D46" s="361"/>
      <c r="E46" s="361"/>
      <c r="F46" s="361"/>
      <c r="G46" s="361"/>
      <c r="H46" s="361"/>
      <c r="I46" s="380" t="s">
        <v>361</v>
      </c>
      <c r="J46" s="361" t="s">
        <v>330</v>
      </c>
    </row>
    <row r="47" spans="1:10" ht="41.25" customHeight="1">
      <c r="A47" s="494" t="s">
        <v>164</v>
      </c>
      <c r="B47" s="492" t="s">
        <v>17</v>
      </c>
      <c r="C47" s="487" t="s">
        <v>631</v>
      </c>
      <c r="D47" s="487" t="s">
        <v>632</v>
      </c>
      <c r="E47" s="485" t="s">
        <v>633</v>
      </c>
      <c r="F47" s="492" t="s">
        <v>634</v>
      </c>
      <c r="G47" s="481" t="s">
        <v>165</v>
      </c>
      <c r="H47" s="482"/>
      <c r="I47" s="482"/>
      <c r="J47" s="483"/>
    </row>
    <row r="48" spans="1:10" ht="77.25" customHeight="1">
      <c r="A48" s="494"/>
      <c r="B48" s="492"/>
      <c r="C48" s="488"/>
      <c r="D48" s="488"/>
      <c r="E48" s="486"/>
      <c r="F48" s="492"/>
      <c r="G48" s="250" t="s">
        <v>505</v>
      </c>
      <c r="H48" s="250" t="s">
        <v>611</v>
      </c>
      <c r="I48" s="492" t="s">
        <v>655</v>
      </c>
      <c r="J48" s="493"/>
    </row>
    <row r="49" spans="1:10" ht="21.75" customHeight="1">
      <c r="A49" s="249">
        <v>1</v>
      </c>
      <c r="B49" s="250">
        <v>2</v>
      </c>
      <c r="C49" s="250">
        <v>3</v>
      </c>
      <c r="D49" s="250">
        <v>4</v>
      </c>
      <c r="E49" s="250">
        <v>5</v>
      </c>
      <c r="F49" s="250">
        <v>6</v>
      </c>
      <c r="G49" s="250">
        <v>7</v>
      </c>
      <c r="H49" s="250">
        <v>8</v>
      </c>
      <c r="I49" s="492">
        <v>9</v>
      </c>
      <c r="J49" s="493"/>
    </row>
    <row r="50" spans="1:10" ht="28.5" customHeight="1">
      <c r="A50" s="495" t="s">
        <v>79</v>
      </c>
      <c r="B50" s="495"/>
      <c r="C50" s="495"/>
      <c r="D50" s="495"/>
      <c r="E50" s="495"/>
      <c r="F50" s="495"/>
      <c r="G50" s="495"/>
      <c r="H50" s="495"/>
      <c r="I50" s="495"/>
      <c r="J50" s="495"/>
    </row>
    <row r="51" spans="1:10" ht="45" customHeight="1">
      <c r="A51" s="381" t="s">
        <v>138</v>
      </c>
      <c r="B51" s="249">
        <v>1000</v>
      </c>
      <c r="C51" s="232">
        <f>'I. Фін результат'!C8</f>
        <v>100735</v>
      </c>
      <c r="D51" s="232">
        <f>'I. Фін результат'!D8</f>
        <v>119752</v>
      </c>
      <c r="E51" s="232">
        <f>'I. Фін результат'!E8</f>
        <v>119752</v>
      </c>
      <c r="F51" s="232">
        <f>'I. Фін результат'!F8</f>
        <v>139512</v>
      </c>
      <c r="G51" s="232">
        <f t="shared" ref="G51:I52" si="0">F51</f>
        <v>139512</v>
      </c>
      <c r="H51" s="232">
        <f t="shared" si="0"/>
        <v>139512</v>
      </c>
      <c r="I51" s="509">
        <f t="shared" si="0"/>
        <v>139512</v>
      </c>
      <c r="J51" s="510"/>
    </row>
    <row r="52" spans="1:10" ht="47.25" customHeight="1">
      <c r="A52" s="381" t="s">
        <v>119</v>
      </c>
      <c r="B52" s="249">
        <v>1010</v>
      </c>
      <c r="C52" s="232">
        <f>'I. Фін результат'!C9</f>
        <v>-90529</v>
      </c>
      <c r="D52" s="232">
        <f>'I. Фін результат'!D9</f>
        <v>-101944</v>
      </c>
      <c r="E52" s="232">
        <f>'I. Фін результат'!E9</f>
        <v>-101944</v>
      </c>
      <c r="F52" s="232">
        <f>'I. Фін результат'!F9</f>
        <v>-123182</v>
      </c>
      <c r="G52" s="232">
        <f t="shared" si="0"/>
        <v>-123182</v>
      </c>
      <c r="H52" s="232">
        <f t="shared" si="0"/>
        <v>-123182</v>
      </c>
      <c r="I52" s="232">
        <f t="shared" si="0"/>
        <v>-123182</v>
      </c>
      <c r="J52" s="232"/>
    </row>
    <row r="53" spans="1:10" ht="28.5" customHeight="1">
      <c r="A53" s="382" t="s">
        <v>177</v>
      </c>
      <c r="B53" s="249">
        <v>1020</v>
      </c>
      <c r="C53" s="233">
        <f>SUM(C51:C52)</f>
        <v>10206</v>
      </c>
      <c r="D53" s="233">
        <f t="shared" ref="D53:H53" si="1">SUM(D51:D52)</f>
        <v>17808</v>
      </c>
      <c r="E53" s="233">
        <f t="shared" si="1"/>
        <v>17808</v>
      </c>
      <c r="F53" s="233">
        <f t="shared" si="1"/>
        <v>16330</v>
      </c>
      <c r="G53" s="233">
        <f t="shared" si="1"/>
        <v>16330</v>
      </c>
      <c r="H53" s="233">
        <f t="shared" si="1"/>
        <v>16330</v>
      </c>
      <c r="I53" s="233">
        <f>SUM(I51:I52)</f>
        <v>16330</v>
      </c>
      <c r="J53" s="233">
        <f>SUM(J51:J52)</f>
        <v>0</v>
      </c>
    </row>
    <row r="54" spans="1:10" ht="27.75" customHeight="1">
      <c r="A54" s="381" t="s">
        <v>104</v>
      </c>
      <c r="B54" s="249">
        <v>1030</v>
      </c>
      <c r="C54" s="232">
        <f>'I. Фін результат'!C19</f>
        <v>-7827</v>
      </c>
      <c r="D54" s="232">
        <f>'I. Фін результат'!D19</f>
        <v>-9392</v>
      </c>
      <c r="E54" s="232">
        <f>'I. Фін результат'!E19</f>
        <v>-9392</v>
      </c>
      <c r="F54" s="232">
        <f>'I. Фін результат'!F19</f>
        <v>-11320</v>
      </c>
      <c r="G54" s="232">
        <f>F54</f>
        <v>-11320</v>
      </c>
      <c r="H54" s="232">
        <f>G54</f>
        <v>-11320</v>
      </c>
      <c r="I54" s="509">
        <f>H54</f>
        <v>-11320</v>
      </c>
      <c r="J54" s="510"/>
    </row>
    <row r="55" spans="1:10" ht="27.75" customHeight="1">
      <c r="A55" s="381" t="s">
        <v>103</v>
      </c>
      <c r="B55" s="249">
        <v>1060</v>
      </c>
      <c r="C55" s="232">
        <f>'I. Фін результат'!C40</f>
        <v>0</v>
      </c>
      <c r="D55" s="232">
        <f>'I. Фін результат'!D40</f>
        <v>0</v>
      </c>
      <c r="E55" s="232">
        <f>'I. Фін результат'!E40</f>
        <v>0</v>
      </c>
      <c r="F55" s="232">
        <f>'I. Фін результат'!F40</f>
        <v>0</v>
      </c>
      <c r="G55" s="232"/>
      <c r="H55" s="232"/>
      <c r="I55" s="232"/>
      <c r="J55" s="232"/>
    </row>
    <row r="56" spans="1:10" ht="27.75" customHeight="1">
      <c r="A56" s="381" t="s">
        <v>198</v>
      </c>
      <c r="B56" s="249">
        <v>1070</v>
      </c>
      <c r="C56" s="232">
        <f>'I. Фін результат'!C48</f>
        <v>276</v>
      </c>
      <c r="D56" s="232">
        <f>'I. Фін результат'!D48</f>
        <v>0</v>
      </c>
      <c r="E56" s="232">
        <f>'I. Фін результат'!E48</f>
        <v>0</v>
      </c>
      <c r="F56" s="232">
        <f>'I. Фін результат'!F48</f>
        <v>0</v>
      </c>
      <c r="G56" s="232"/>
      <c r="H56" s="232"/>
      <c r="I56" s="232"/>
      <c r="J56" s="232"/>
    </row>
    <row r="57" spans="1:10" ht="27.75" customHeight="1">
      <c r="A57" s="381" t="s">
        <v>26</v>
      </c>
      <c r="B57" s="249">
        <v>1080</v>
      </c>
      <c r="C57" s="232">
        <f>'I. Фін результат'!C52</f>
        <v>-5</v>
      </c>
      <c r="D57" s="232">
        <f>'I. Фін результат'!D52</f>
        <v>0</v>
      </c>
      <c r="E57" s="232">
        <f>'I. Фін результат'!E52</f>
        <v>0</v>
      </c>
      <c r="F57" s="232">
        <f>'I. Фін результат'!F52</f>
        <v>-36</v>
      </c>
      <c r="G57" s="232">
        <v>-36</v>
      </c>
      <c r="H57" s="232">
        <v>-36</v>
      </c>
      <c r="I57" s="232">
        <v>-36</v>
      </c>
      <c r="J57" s="232"/>
    </row>
    <row r="58" spans="1:10" ht="28.5" customHeight="1">
      <c r="A58" s="382" t="s">
        <v>4</v>
      </c>
      <c r="B58" s="249">
        <v>1100</v>
      </c>
      <c r="C58" s="233">
        <f>SUM(C53:C57)</f>
        <v>2650</v>
      </c>
      <c r="D58" s="233">
        <f t="shared" ref="D58:J58" si="2">SUM(D53:D57)</f>
        <v>8416</v>
      </c>
      <c r="E58" s="233">
        <f t="shared" si="2"/>
        <v>8416</v>
      </c>
      <c r="F58" s="233">
        <f t="shared" si="2"/>
        <v>4974</v>
      </c>
      <c r="G58" s="233">
        <f t="shared" si="2"/>
        <v>4974</v>
      </c>
      <c r="H58" s="233">
        <f t="shared" si="2"/>
        <v>4974</v>
      </c>
      <c r="I58" s="233">
        <f t="shared" si="2"/>
        <v>4974</v>
      </c>
      <c r="J58" s="233">
        <f t="shared" si="2"/>
        <v>0</v>
      </c>
    </row>
    <row r="59" spans="1:10" ht="28.5" customHeight="1">
      <c r="A59" s="382" t="s">
        <v>105</v>
      </c>
      <c r="B59" s="249">
        <v>1310</v>
      </c>
      <c r="C59" s="233">
        <f>'I. Фін результат'!C88</f>
        <v>8810</v>
      </c>
      <c r="D59" s="233">
        <f>'I. Фін результат'!D88</f>
        <v>14432</v>
      </c>
      <c r="E59" s="233">
        <f>'I. Фін результат'!E88</f>
        <v>14432</v>
      </c>
      <c r="F59" s="233">
        <f>'I. Фін результат'!F88</f>
        <v>11180</v>
      </c>
      <c r="G59" s="233">
        <f>F59</f>
        <v>11180</v>
      </c>
      <c r="H59" s="233">
        <f>G59</f>
        <v>11180</v>
      </c>
      <c r="I59" s="517">
        <f>H59</f>
        <v>11180</v>
      </c>
      <c r="J59" s="518"/>
    </row>
    <row r="60" spans="1:10" ht="28.5" customHeight="1">
      <c r="A60" s="382" t="s">
        <v>151</v>
      </c>
      <c r="B60" s="249">
        <f>' V. Коефіцієнти'!B9</f>
        <v>5010</v>
      </c>
      <c r="C60" s="272">
        <f>(C59/C51)*100</f>
        <v>8.6999999999999993</v>
      </c>
      <c r="D60" s="272">
        <f t="shared" ref="D60:H60" si="3">(D59/D51)*100</f>
        <v>12.1</v>
      </c>
      <c r="E60" s="272">
        <f t="shared" si="3"/>
        <v>12.1</v>
      </c>
      <c r="F60" s="272">
        <f t="shared" si="3"/>
        <v>8</v>
      </c>
      <c r="G60" s="272">
        <f t="shared" si="3"/>
        <v>8</v>
      </c>
      <c r="H60" s="272">
        <f t="shared" si="3"/>
        <v>8</v>
      </c>
      <c r="I60" s="272">
        <f>(I59/I51)*100</f>
        <v>8</v>
      </c>
      <c r="J60" s="233" t="e">
        <f>(J59/J51)*100</f>
        <v>#DIV/0!</v>
      </c>
    </row>
    <row r="61" spans="1:10" ht="27.75" customHeight="1">
      <c r="A61" s="381" t="s">
        <v>199</v>
      </c>
      <c r="B61" s="249">
        <v>1110</v>
      </c>
      <c r="C61" s="232">
        <f>'I. Фін результат'!C60</f>
        <v>0</v>
      </c>
      <c r="D61" s="232">
        <f>'I. Фін результат'!D60</f>
        <v>0</v>
      </c>
      <c r="E61" s="232">
        <f>'I. Фін результат'!E60</f>
        <v>0</v>
      </c>
      <c r="F61" s="232">
        <f>'I. Фін результат'!F60</f>
        <v>0</v>
      </c>
      <c r="G61" s="232"/>
      <c r="H61" s="232"/>
      <c r="I61" s="232"/>
      <c r="J61" s="232"/>
    </row>
    <row r="62" spans="1:10" ht="27.75" customHeight="1">
      <c r="A62" s="381" t="s">
        <v>200</v>
      </c>
      <c r="B62" s="249">
        <v>1120</v>
      </c>
      <c r="C62" s="232" t="str">
        <f>'I. Фін результат'!C61</f>
        <v>(    )</v>
      </c>
      <c r="D62" s="232" t="str">
        <f>'I. Фін результат'!D61</f>
        <v>(    )</v>
      </c>
      <c r="E62" s="232" t="str">
        <f>'I. Фін результат'!E61</f>
        <v>(    )</v>
      </c>
      <c r="F62" s="232">
        <f>'I. Фін результат'!F61</f>
        <v>0</v>
      </c>
      <c r="G62" s="232"/>
      <c r="H62" s="232"/>
      <c r="I62" s="232"/>
      <c r="J62" s="232"/>
    </row>
    <row r="63" spans="1:10" ht="27.75" customHeight="1">
      <c r="A63" s="381" t="s">
        <v>201</v>
      </c>
      <c r="B63" s="249">
        <v>1130</v>
      </c>
      <c r="C63" s="232">
        <f>'I. Фін результат'!C62</f>
        <v>0</v>
      </c>
      <c r="D63" s="232">
        <f>'I. Фін результат'!D62</f>
        <v>0</v>
      </c>
      <c r="E63" s="232">
        <f>'I. Фін результат'!E62</f>
        <v>0</v>
      </c>
      <c r="F63" s="232">
        <f>'I. Фін результат'!F62</f>
        <v>0</v>
      </c>
      <c r="G63" s="232"/>
      <c r="H63" s="232"/>
      <c r="I63" s="232"/>
      <c r="J63" s="232"/>
    </row>
    <row r="64" spans="1:10" ht="27.75" customHeight="1">
      <c r="A64" s="381" t="s">
        <v>202</v>
      </c>
      <c r="B64" s="249">
        <v>1140</v>
      </c>
      <c r="C64" s="232">
        <f>'I. Фін результат'!C63</f>
        <v>-833</v>
      </c>
      <c r="D64" s="232">
        <f>'I. Фін результат'!D63</f>
        <v>-561</v>
      </c>
      <c r="E64" s="232">
        <f>'I. Фін результат'!E63</f>
        <v>-561</v>
      </c>
      <c r="F64" s="232">
        <f>'I. Фін результат'!F63</f>
        <v>-262</v>
      </c>
      <c r="G64" s="232">
        <f>-кредити!AK124/1000</f>
        <v>-70</v>
      </c>
      <c r="H64" s="232">
        <f>-кредити!AK128/1000</f>
        <v>-2</v>
      </c>
      <c r="I64" s="232">
        <v>0</v>
      </c>
      <c r="J64" s="232"/>
    </row>
    <row r="65" spans="1:10" ht="27.75" customHeight="1">
      <c r="A65" s="381" t="s">
        <v>204</v>
      </c>
      <c r="B65" s="249">
        <v>1150</v>
      </c>
      <c r="C65" s="232">
        <f>'I. Фін результат'!C64</f>
        <v>528</v>
      </c>
      <c r="D65" s="232">
        <f>'I. Фін результат'!D64</f>
        <v>528</v>
      </c>
      <c r="E65" s="232">
        <f>'I. Фін результат'!E64</f>
        <v>528</v>
      </c>
      <c r="F65" s="232">
        <f>'I. Фін результат'!F64</f>
        <v>528</v>
      </c>
      <c r="G65" s="232">
        <v>528</v>
      </c>
      <c r="H65" s="232">
        <v>528</v>
      </c>
      <c r="I65" s="232">
        <v>528</v>
      </c>
      <c r="J65" s="232"/>
    </row>
    <row r="66" spans="1:10" ht="27.75" customHeight="1">
      <c r="A66" s="381" t="s">
        <v>205</v>
      </c>
      <c r="B66" s="249">
        <v>1160</v>
      </c>
      <c r="C66" s="232">
        <f>'I. Фін результат'!C67</f>
        <v>-46</v>
      </c>
      <c r="D66" s="232">
        <f>'I. Фін результат'!D67</f>
        <v>0</v>
      </c>
      <c r="E66" s="232">
        <f>'I. Фін результат'!E67</f>
        <v>0</v>
      </c>
      <c r="F66" s="232">
        <f>'I. Фін результат'!F67</f>
        <v>-36</v>
      </c>
      <c r="G66" s="232">
        <v>-36</v>
      </c>
      <c r="H66" s="232">
        <v>-36</v>
      </c>
      <c r="I66" s="232">
        <v>-36</v>
      </c>
      <c r="J66" s="232"/>
    </row>
    <row r="67" spans="1:10" ht="28.5" customHeight="1">
      <c r="A67" s="382" t="s">
        <v>78</v>
      </c>
      <c r="B67" s="249">
        <v>1170</v>
      </c>
      <c r="C67" s="233">
        <f>SUM(C58, C61:C66)</f>
        <v>2299</v>
      </c>
      <c r="D67" s="233">
        <f t="shared" ref="D67:J67" si="4">SUM(D58, D61:D66)</f>
        <v>8383</v>
      </c>
      <c r="E67" s="233">
        <f t="shared" si="4"/>
        <v>8383</v>
      </c>
      <c r="F67" s="233">
        <f t="shared" si="4"/>
        <v>5204</v>
      </c>
      <c r="G67" s="233">
        <f>SUM(G58, G61:G66)</f>
        <v>5396</v>
      </c>
      <c r="H67" s="233">
        <f t="shared" si="4"/>
        <v>5464</v>
      </c>
      <c r="I67" s="233">
        <f t="shared" si="4"/>
        <v>5466</v>
      </c>
      <c r="J67" s="233">
        <f t="shared" si="4"/>
        <v>0</v>
      </c>
    </row>
    <row r="68" spans="1:10" ht="27.75" customHeight="1">
      <c r="A68" s="381" t="s">
        <v>206</v>
      </c>
      <c r="B68" s="249">
        <v>1180</v>
      </c>
      <c r="C68" s="232" t="str">
        <f>'I. Фін результат'!C71</f>
        <v>(    )</v>
      </c>
      <c r="D68" s="232">
        <f>'I. Фін результат'!D71</f>
        <v>-1510</v>
      </c>
      <c r="E68" s="232">
        <f>'I. Фін результат'!E71</f>
        <v>-1510</v>
      </c>
      <c r="F68" s="232">
        <f>'I. Фін результат'!F71</f>
        <v>-936</v>
      </c>
      <c r="G68" s="232">
        <f>ROUND(-G67*0.18,0)</f>
        <v>-971</v>
      </c>
      <c r="H68" s="232">
        <f t="shared" ref="H68:I68" si="5">ROUND(-H67*0.18,0)</f>
        <v>-984</v>
      </c>
      <c r="I68" s="232">
        <f t="shared" si="5"/>
        <v>-984</v>
      </c>
      <c r="J68" s="232"/>
    </row>
    <row r="69" spans="1:10" ht="27.75" customHeight="1">
      <c r="A69" s="381" t="s">
        <v>207</v>
      </c>
      <c r="B69" s="249">
        <v>1181</v>
      </c>
      <c r="C69" s="232">
        <f>'I. Фін результат'!C72</f>
        <v>0</v>
      </c>
      <c r="D69" s="232">
        <f>'I. Фін результат'!D72</f>
        <v>0</v>
      </c>
      <c r="E69" s="232">
        <f>'I. Фін результат'!E72</f>
        <v>0</v>
      </c>
      <c r="F69" s="232">
        <f>'I. Фін результат'!F72</f>
        <v>0</v>
      </c>
      <c r="G69" s="232"/>
      <c r="H69" s="232"/>
      <c r="I69" s="232"/>
      <c r="J69" s="232"/>
    </row>
    <row r="70" spans="1:10" ht="42.75" customHeight="1">
      <c r="A70" s="381" t="s">
        <v>208</v>
      </c>
      <c r="B70" s="249">
        <v>1190</v>
      </c>
      <c r="C70" s="232">
        <f>'I. Фін результат'!C73</f>
        <v>0</v>
      </c>
      <c r="D70" s="232">
        <f>'I. Фін результат'!D73</f>
        <v>0</v>
      </c>
      <c r="E70" s="232">
        <f>'I. Фін результат'!E73</f>
        <v>0</v>
      </c>
      <c r="F70" s="232">
        <f>'I. Фін результат'!F73</f>
        <v>0</v>
      </c>
      <c r="G70" s="232"/>
      <c r="H70" s="232"/>
      <c r="I70" s="232"/>
      <c r="J70" s="232"/>
    </row>
    <row r="71" spans="1:10" ht="27.75" customHeight="1">
      <c r="A71" s="381" t="s">
        <v>209</v>
      </c>
      <c r="B71" s="249">
        <v>1191</v>
      </c>
      <c r="C71" s="232" t="str">
        <f>'I. Фін результат'!C74</f>
        <v>(    )</v>
      </c>
      <c r="D71" s="232" t="str">
        <f>'I. Фін результат'!D74</f>
        <v>(    )</v>
      </c>
      <c r="E71" s="232" t="str">
        <f>'I. Фін результат'!E74</f>
        <v>(    )</v>
      </c>
      <c r="F71" s="232">
        <f>'I. Фін результат'!F74</f>
        <v>0</v>
      </c>
      <c r="G71" s="232"/>
      <c r="H71" s="232"/>
      <c r="I71" s="232"/>
      <c r="J71" s="232"/>
    </row>
    <row r="72" spans="1:10" ht="28.5" customHeight="1">
      <c r="A72" s="382" t="s">
        <v>289</v>
      </c>
      <c r="B72" s="249">
        <v>1200</v>
      </c>
      <c r="C72" s="233">
        <f>SUM(C67:C71)</f>
        <v>2299</v>
      </c>
      <c r="D72" s="233">
        <f t="shared" ref="D72:J72" si="6">SUM(D67:D71)</f>
        <v>6873</v>
      </c>
      <c r="E72" s="233">
        <f t="shared" si="6"/>
        <v>6873</v>
      </c>
      <c r="F72" s="233">
        <f t="shared" si="6"/>
        <v>4268</v>
      </c>
      <c r="G72" s="233">
        <f t="shared" si="6"/>
        <v>4425</v>
      </c>
      <c r="H72" s="233">
        <f t="shared" si="6"/>
        <v>4480</v>
      </c>
      <c r="I72" s="233">
        <f t="shared" si="6"/>
        <v>4482</v>
      </c>
      <c r="J72" s="233">
        <f t="shared" si="6"/>
        <v>0</v>
      </c>
    </row>
    <row r="73" spans="1:10" ht="27.75" customHeight="1">
      <c r="A73" s="381" t="s">
        <v>292</v>
      </c>
      <c r="B73" s="249">
        <v>1201</v>
      </c>
      <c r="C73" s="232">
        <f>'I. Фін результат'!C76</f>
        <v>2299</v>
      </c>
      <c r="D73" s="232">
        <f>'I. Фін результат'!D76</f>
        <v>6873</v>
      </c>
      <c r="E73" s="232">
        <f>'I. Фін результат'!E76</f>
        <v>6873</v>
      </c>
      <c r="F73" s="232">
        <f>'I. Фін результат'!F76</f>
        <v>4268</v>
      </c>
      <c r="G73" s="232">
        <f>G72</f>
        <v>4425</v>
      </c>
      <c r="H73" s="232">
        <f t="shared" ref="H73:I73" si="7">H72</f>
        <v>4480</v>
      </c>
      <c r="I73" s="232">
        <f t="shared" si="7"/>
        <v>4482</v>
      </c>
      <c r="J73" s="232"/>
    </row>
    <row r="74" spans="1:10" ht="27.75" customHeight="1">
      <c r="A74" s="381" t="s">
        <v>293</v>
      </c>
      <c r="B74" s="249">
        <v>1202</v>
      </c>
      <c r="C74" s="232" t="str">
        <f>'I. Фін результат'!C77</f>
        <v>(    )</v>
      </c>
      <c r="D74" s="232" t="str">
        <f>'I. Фін результат'!D77</f>
        <v>(    )</v>
      </c>
      <c r="E74" s="232" t="str">
        <f>'I. Фін результат'!E77</f>
        <v>(    )</v>
      </c>
      <c r="F74" s="232">
        <f>'I. Фін результат'!F77</f>
        <v>0</v>
      </c>
      <c r="G74" s="232"/>
      <c r="H74" s="232"/>
      <c r="I74" s="232"/>
      <c r="J74" s="232"/>
    </row>
    <row r="75" spans="1:10" ht="27.75" customHeight="1">
      <c r="A75" s="484" t="s">
        <v>109</v>
      </c>
      <c r="B75" s="484"/>
      <c r="C75" s="484"/>
      <c r="D75" s="484"/>
      <c r="E75" s="484"/>
      <c r="F75" s="484"/>
      <c r="G75" s="484"/>
      <c r="H75" s="484"/>
      <c r="I75" s="484"/>
      <c r="J75" s="484"/>
    </row>
    <row r="76" spans="1:10" ht="52.5" customHeight="1">
      <c r="A76" s="383" t="s">
        <v>592</v>
      </c>
      <c r="B76" s="249">
        <v>2110</v>
      </c>
      <c r="C76" s="232">
        <f>'ІІ. Розр. з бюджетом'!C19</f>
        <v>13066</v>
      </c>
      <c r="D76" s="232">
        <f>'ІІ. Розр. з бюджетом'!D19</f>
        <v>12728</v>
      </c>
      <c r="E76" s="232">
        <f>'ІІ. Розр. з бюджетом'!E19</f>
        <v>12622</v>
      </c>
      <c r="F76" s="232">
        <f>'ІІ. Розр. з бюджетом'!F19</f>
        <v>15000</v>
      </c>
      <c r="G76" s="232">
        <f>F76</f>
        <v>15000</v>
      </c>
      <c r="H76" s="232">
        <f>G76</f>
        <v>15000</v>
      </c>
      <c r="I76" s="509">
        <f>H76</f>
        <v>15000</v>
      </c>
      <c r="J76" s="510"/>
    </row>
    <row r="77" spans="1:10" ht="43.5" customHeight="1">
      <c r="A77" s="384" t="s">
        <v>362</v>
      </c>
      <c r="B77" s="250">
        <v>2120</v>
      </c>
      <c r="C77" s="232">
        <f>'ІІ. Розр. з бюджетом'!C27</f>
        <v>6955</v>
      </c>
      <c r="D77" s="232">
        <f>'ІІ. Розр. з бюджетом'!D27</f>
        <v>10601</v>
      </c>
      <c r="E77" s="232">
        <f>'ІІ. Розр. з бюджетом'!E27</f>
        <v>9339</v>
      </c>
      <c r="F77" s="232">
        <f>'ІІ. Розр. з бюджетом'!F27</f>
        <v>8743</v>
      </c>
      <c r="G77" s="232">
        <f t="shared" ref="G77:H78" si="8">F77</f>
        <v>8743</v>
      </c>
      <c r="H77" s="232">
        <f t="shared" si="8"/>
        <v>8743</v>
      </c>
      <c r="I77" s="509">
        <f>H77</f>
        <v>8743</v>
      </c>
      <c r="J77" s="510"/>
    </row>
    <row r="78" spans="1:10" ht="33" customHeight="1">
      <c r="A78" s="383" t="s">
        <v>363</v>
      </c>
      <c r="B78" s="250">
        <v>2130</v>
      </c>
      <c r="C78" s="232">
        <f>'ІІ. Розр. з бюджетом'!C36</f>
        <v>12608</v>
      </c>
      <c r="D78" s="232">
        <f>'ІІ. Розр. з бюджетом'!D36</f>
        <v>14980</v>
      </c>
      <c r="E78" s="232">
        <f>'ІІ. Розр. з бюджетом'!E36</f>
        <v>13439</v>
      </c>
      <c r="F78" s="232">
        <f>'ІІ. Розр. з бюджетом'!F36</f>
        <v>14132</v>
      </c>
      <c r="G78" s="232">
        <f t="shared" si="8"/>
        <v>14132</v>
      </c>
      <c r="H78" s="232">
        <f t="shared" si="8"/>
        <v>14132</v>
      </c>
      <c r="I78" s="509">
        <f>H78</f>
        <v>14132</v>
      </c>
      <c r="J78" s="510"/>
    </row>
    <row r="79" spans="1:10" ht="30.75" customHeight="1">
      <c r="A79" s="385" t="s">
        <v>357</v>
      </c>
      <c r="B79" s="250">
        <v>2200</v>
      </c>
      <c r="C79" s="233">
        <f>SUM(C76:C78)</f>
        <v>32629</v>
      </c>
      <c r="D79" s="233">
        <f t="shared" ref="D79:F79" si="9">SUM(D76:D78)</f>
        <v>38309</v>
      </c>
      <c r="E79" s="233">
        <f t="shared" si="9"/>
        <v>35400</v>
      </c>
      <c r="F79" s="233">
        <f t="shared" si="9"/>
        <v>37875</v>
      </c>
      <c r="G79" s="233">
        <f>SUM(G76:G78)</f>
        <v>37875</v>
      </c>
      <c r="H79" s="233">
        <f t="shared" ref="H79:I79" si="10">SUM(H76:H78)</f>
        <v>37875</v>
      </c>
      <c r="I79" s="233">
        <f t="shared" si="10"/>
        <v>37875</v>
      </c>
      <c r="J79" s="232"/>
    </row>
    <row r="80" spans="1:10" ht="30" customHeight="1">
      <c r="A80" s="484" t="s">
        <v>108</v>
      </c>
      <c r="B80" s="516"/>
      <c r="C80" s="484"/>
      <c r="D80" s="484"/>
      <c r="E80" s="484"/>
      <c r="F80" s="484"/>
      <c r="G80" s="484"/>
      <c r="H80" s="484"/>
      <c r="I80" s="484"/>
      <c r="J80" s="484"/>
    </row>
    <row r="81" spans="1:10" ht="30.75" customHeight="1">
      <c r="A81" s="385" t="s">
        <v>210</v>
      </c>
      <c r="B81" s="250">
        <v>3405</v>
      </c>
      <c r="C81" s="233">
        <f>'ІІІ. Рух грош. коштів'!C66</f>
        <v>580</v>
      </c>
      <c r="D81" s="233">
        <f>'ІІІ. Рух грош. коштів'!D66</f>
        <v>175</v>
      </c>
      <c r="E81" s="233">
        <f>'ІІІ. Рух грош. коштів'!E66</f>
        <v>640</v>
      </c>
      <c r="F81" s="233">
        <f>'ІІІ. Рух грош. коштів'!F66</f>
        <v>515</v>
      </c>
      <c r="G81" s="232" t="s">
        <v>148</v>
      </c>
      <c r="H81" s="232" t="s">
        <v>148</v>
      </c>
      <c r="I81" s="232" t="s">
        <v>148</v>
      </c>
      <c r="J81" s="232" t="s">
        <v>148</v>
      </c>
    </row>
    <row r="82" spans="1:10" ht="27.75" customHeight="1">
      <c r="A82" s="381" t="s">
        <v>279</v>
      </c>
      <c r="B82" s="249">
        <v>3030</v>
      </c>
      <c r="C82" s="232">
        <f>'ІІІ. Рух грош. коштів'!C12</f>
        <v>0</v>
      </c>
      <c r="D82" s="232" t="str">
        <f>'ІІІ. Рух грош. коштів'!D12</f>
        <v>-</v>
      </c>
      <c r="E82" s="232" t="str">
        <f>'ІІІ. Рух грош. коштів'!E12</f>
        <v>-</v>
      </c>
      <c r="F82" s="232">
        <f>'ІІІ. Рух грош. коштів'!F12</f>
        <v>0</v>
      </c>
      <c r="G82" s="232"/>
      <c r="H82" s="232"/>
      <c r="I82" s="232"/>
      <c r="J82" s="232"/>
    </row>
    <row r="83" spans="1:10" ht="27.75" customHeight="1">
      <c r="A83" s="381" t="s">
        <v>211</v>
      </c>
      <c r="B83" s="249">
        <v>3195</v>
      </c>
      <c r="C83" s="232">
        <f>'ІІІ. Рух грош. коштів'!C34</f>
        <v>10378</v>
      </c>
      <c r="D83" s="232">
        <f>'ІІІ. Рух грош. коштів'!D34</f>
        <v>5872</v>
      </c>
      <c r="E83" s="232">
        <f>'ІІІ. Рух грош. коштів'!E34</f>
        <v>4402</v>
      </c>
      <c r="F83" s="232">
        <f>'ІІІ. Рух грош. коштів'!F34</f>
        <v>5178</v>
      </c>
      <c r="G83" s="232" t="s">
        <v>148</v>
      </c>
      <c r="H83" s="232" t="s">
        <v>148</v>
      </c>
      <c r="I83" s="232" t="s">
        <v>148</v>
      </c>
      <c r="J83" s="232" t="s">
        <v>148</v>
      </c>
    </row>
    <row r="84" spans="1:10" ht="27.75" customHeight="1">
      <c r="A84" s="381" t="s">
        <v>112</v>
      </c>
      <c r="B84" s="249">
        <v>3295</v>
      </c>
      <c r="C84" s="232">
        <f>'ІІІ. Рух грош. коштів'!C52</f>
        <v>-1744</v>
      </c>
      <c r="D84" s="232">
        <f>'ІІІ. Рух грош. коштів'!D52</f>
        <v>-144</v>
      </c>
      <c r="E84" s="232">
        <f>'ІІІ. Рух грош. коштів'!E52</f>
        <v>-144</v>
      </c>
      <c r="F84" s="232">
        <f>'ІІІ. Рух грош. коштів'!F52</f>
        <v>-23793</v>
      </c>
      <c r="G84" s="232" t="s">
        <v>148</v>
      </c>
      <c r="H84" s="232" t="s">
        <v>148</v>
      </c>
      <c r="I84" s="232" t="s">
        <v>148</v>
      </c>
      <c r="J84" s="232" t="s">
        <v>148</v>
      </c>
    </row>
    <row r="85" spans="1:10" ht="27.75" customHeight="1">
      <c r="A85" s="381" t="s">
        <v>212</v>
      </c>
      <c r="B85" s="249">
        <v>3395</v>
      </c>
      <c r="C85" s="232">
        <f>'ІІІ. Рух грош. коштів'!C64</f>
        <v>-8574</v>
      </c>
      <c r="D85" s="232">
        <f>'ІІІ. Рух грош. коштів'!D64</f>
        <v>-5853</v>
      </c>
      <c r="E85" s="232">
        <f>'ІІІ. Рух грош. коштів'!E64</f>
        <v>-4383</v>
      </c>
      <c r="F85" s="232">
        <f>'ІІІ. Рух грош. коштів'!F64</f>
        <v>18723</v>
      </c>
      <c r="G85" s="232" t="s">
        <v>148</v>
      </c>
      <c r="H85" s="232" t="s">
        <v>148</v>
      </c>
      <c r="I85" s="232" t="s">
        <v>148</v>
      </c>
      <c r="J85" s="232" t="s">
        <v>148</v>
      </c>
    </row>
    <row r="86" spans="1:10" ht="27.75" customHeight="1">
      <c r="A86" s="381" t="s">
        <v>116</v>
      </c>
      <c r="B86" s="249">
        <v>3410</v>
      </c>
      <c r="C86" s="232">
        <f>'ІІІ. Рух грош. коштів'!C67</f>
        <v>0</v>
      </c>
      <c r="D86" s="232">
        <f>'ІІІ. Рух грош. коштів'!D67</f>
        <v>0</v>
      </c>
      <c r="E86" s="232">
        <f>'ІІІ. Рух грош. коштів'!E67</f>
        <v>0</v>
      </c>
      <c r="F86" s="232">
        <f>'ІІІ. Рух грош. коштів'!F67</f>
        <v>0</v>
      </c>
      <c r="G86" s="232" t="s">
        <v>148</v>
      </c>
      <c r="H86" s="232" t="s">
        <v>148</v>
      </c>
      <c r="I86" s="232" t="s">
        <v>148</v>
      </c>
      <c r="J86" s="232" t="s">
        <v>148</v>
      </c>
    </row>
    <row r="87" spans="1:10" ht="30.75" customHeight="1">
      <c r="A87" s="385" t="s">
        <v>213</v>
      </c>
      <c r="B87" s="250">
        <v>3415</v>
      </c>
      <c r="C87" s="233">
        <f>SUM(C81,C83:C86)</f>
        <v>640</v>
      </c>
      <c r="D87" s="233">
        <f>SUM(D81,D83:D86)</f>
        <v>50</v>
      </c>
      <c r="E87" s="233">
        <f>SUM(E81,E83:E86)</f>
        <v>515</v>
      </c>
      <c r="F87" s="233">
        <f>SUM(F81,F83:F86)</f>
        <v>623</v>
      </c>
      <c r="G87" s="232" t="s">
        <v>148</v>
      </c>
      <c r="H87" s="232" t="s">
        <v>148</v>
      </c>
      <c r="I87" s="232" t="s">
        <v>148</v>
      </c>
      <c r="J87" s="232" t="s">
        <v>148</v>
      </c>
    </row>
    <row r="88" spans="1:10" ht="27.75" customHeight="1">
      <c r="A88" s="489" t="s">
        <v>142</v>
      </c>
      <c r="B88" s="490"/>
      <c r="C88" s="490"/>
      <c r="D88" s="490"/>
      <c r="E88" s="490"/>
      <c r="F88" s="490"/>
      <c r="G88" s="490"/>
      <c r="H88" s="490"/>
      <c r="I88" s="490"/>
      <c r="J88" s="491"/>
    </row>
    <row r="89" spans="1:10" ht="27.75" customHeight="1">
      <c r="A89" s="382" t="s">
        <v>141</v>
      </c>
      <c r="B89" s="249">
        <v>4000</v>
      </c>
      <c r="C89" s="233">
        <f>'IV. Кап. інвестиції'!C7</f>
        <v>1455</v>
      </c>
      <c r="D89" s="233">
        <f>'IV. Кап. інвестиції'!D7</f>
        <v>120</v>
      </c>
      <c r="E89" s="233">
        <f>'IV. Кап. інвестиції'!E7</f>
        <v>120</v>
      </c>
      <c r="F89" s="233">
        <f>'IV. Кап. інвестиції'!F7</f>
        <v>19827</v>
      </c>
      <c r="G89" s="233">
        <f>ROUND(E89,0)</f>
        <v>120</v>
      </c>
      <c r="H89" s="233">
        <f>ROUND(G89,0)</f>
        <v>120</v>
      </c>
      <c r="I89" s="517">
        <f>ROUND(H89,0)</f>
        <v>120</v>
      </c>
      <c r="J89" s="518"/>
    </row>
    <row r="90" spans="1:10" ht="24.9" customHeight="1">
      <c r="A90" s="496" t="s">
        <v>145</v>
      </c>
      <c r="B90" s="496"/>
      <c r="C90" s="496"/>
      <c r="D90" s="496"/>
      <c r="E90" s="496"/>
      <c r="F90" s="496"/>
      <c r="G90" s="496"/>
      <c r="H90" s="496"/>
      <c r="I90" s="496"/>
      <c r="J90" s="496"/>
    </row>
    <row r="91" spans="1:10" ht="27.75" customHeight="1">
      <c r="A91" s="381" t="s">
        <v>214</v>
      </c>
      <c r="B91" s="249">
        <v>5040</v>
      </c>
      <c r="C91" s="386">
        <f t="shared" ref="C91:F91" si="11">(C72/C51)*100</f>
        <v>2.2999999999999998</v>
      </c>
      <c r="D91" s="386">
        <f t="shared" si="11"/>
        <v>5.7</v>
      </c>
      <c r="E91" s="386">
        <f t="shared" si="11"/>
        <v>5.7</v>
      </c>
      <c r="F91" s="386">
        <f t="shared" si="11"/>
        <v>3.1</v>
      </c>
      <c r="G91" s="386">
        <f>(G72/G51)*100</f>
        <v>3.2</v>
      </c>
      <c r="H91" s="386">
        <f>(H72/H51)*100</f>
        <v>3.2</v>
      </c>
      <c r="I91" s="386">
        <f>(I72/I51)*100</f>
        <v>3.2</v>
      </c>
      <c r="J91" s="232" t="e">
        <f>(J72/J51)*100</f>
        <v>#DIV/0!</v>
      </c>
    </row>
    <row r="92" spans="1:10" ht="27.75" customHeight="1">
      <c r="A92" s="381" t="s">
        <v>215</v>
      </c>
      <c r="B92" s="249">
        <v>5020</v>
      </c>
      <c r="C92" s="386">
        <f>(C72/C103)*100</f>
        <v>3.4</v>
      </c>
      <c r="D92" s="386">
        <f t="shared" ref="D92:F92" si="12">(D72/D103)*100</f>
        <v>8.9</v>
      </c>
      <c r="E92" s="386">
        <f t="shared" si="12"/>
        <v>8.9</v>
      </c>
      <c r="F92" s="386">
        <f t="shared" si="12"/>
        <v>4.3</v>
      </c>
      <c r="G92" s="386" t="s">
        <v>148</v>
      </c>
      <c r="H92" s="386" t="s">
        <v>148</v>
      </c>
      <c r="I92" s="386" t="s">
        <v>148</v>
      </c>
      <c r="J92" s="232" t="s">
        <v>148</v>
      </c>
    </row>
    <row r="93" spans="1:10" ht="27.75" customHeight="1">
      <c r="A93" s="381" t="s">
        <v>216</v>
      </c>
      <c r="B93" s="249">
        <v>5030</v>
      </c>
      <c r="C93" s="386">
        <f>(C72/C104)*100</f>
        <v>5.6</v>
      </c>
      <c r="D93" s="386">
        <f t="shared" ref="D93:F93" si="13">(D72/D104)*100</f>
        <v>10.199999999999999</v>
      </c>
      <c r="E93" s="386">
        <f t="shared" si="13"/>
        <v>10.199999999999999</v>
      </c>
      <c r="F93" s="386">
        <f t="shared" si="13"/>
        <v>4.5</v>
      </c>
      <c r="G93" s="386" t="s">
        <v>148</v>
      </c>
      <c r="H93" s="386" t="s">
        <v>148</v>
      </c>
      <c r="I93" s="386" t="s">
        <v>148</v>
      </c>
      <c r="J93" s="232" t="s">
        <v>148</v>
      </c>
    </row>
    <row r="94" spans="1:10" ht="27.75" customHeight="1">
      <c r="A94" s="381" t="s">
        <v>152</v>
      </c>
      <c r="B94" s="249">
        <v>5110</v>
      </c>
      <c r="C94" s="386">
        <f>C104/C107</f>
        <v>1.6</v>
      </c>
      <c r="D94" s="386">
        <f>D104/D107</f>
        <v>7</v>
      </c>
      <c r="E94" s="386">
        <f t="shared" ref="E94:F94" si="14">E104/E107</f>
        <v>7</v>
      </c>
      <c r="F94" s="386">
        <f t="shared" si="14"/>
        <v>17.7</v>
      </c>
      <c r="G94" s="386" t="s">
        <v>148</v>
      </c>
      <c r="H94" s="386" t="s">
        <v>148</v>
      </c>
      <c r="I94" s="386" t="s">
        <v>148</v>
      </c>
      <c r="J94" s="232" t="s">
        <v>148</v>
      </c>
    </row>
    <row r="95" spans="1:10" ht="27.75" customHeight="1">
      <c r="A95" s="381" t="s">
        <v>217</v>
      </c>
      <c r="B95" s="249">
        <v>5220</v>
      </c>
      <c r="C95" s="386">
        <f>C100/C99</f>
        <v>0.4</v>
      </c>
      <c r="D95" s="386">
        <f t="shared" ref="D95:F95" si="15">D100/D99</f>
        <v>0.5</v>
      </c>
      <c r="E95" s="386">
        <f t="shared" si="15"/>
        <v>0.5</v>
      </c>
      <c r="F95" s="386">
        <f t="shared" si="15"/>
        <v>0.4</v>
      </c>
      <c r="G95" s="386" t="s">
        <v>148</v>
      </c>
      <c r="H95" s="386" t="s">
        <v>148</v>
      </c>
      <c r="I95" s="386" t="s">
        <v>148</v>
      </c>
      <c r="J95" s="232" t="s">
        <v>148</v>
      </c>
    </row>
    <row r="96" spans="1:10" ht="33.75" customHeight="1">
      <c r="A96" s="484" t="s">
        <v>144</v>
      </c>
      <c r="B96" s="484"/>
      <c r="C96" s="484"/>
      <c r="D96" s="484"/>
      <c r="E96" s="484"/>
      <c r="F96" s="484"/>
      <c r="G96" s="484"/>
      <c r="H96" s="484"/>
      <c r="I96" s="484"/>
      <c r="J96" s="484"/>
    </row>
    <row r="97" spans="1:12" ht="27.75" customHeight="1">
      <c r="A97" s="382" t="s">
        <v>218</v>
      </c>
      <c r="B97" s="249">
        <v>6000</v>
      </c>
      <c r="C97" s="233">
        <v>42152</v>
      </c>
      <c r="D97" s="233">
        <v>37966</v>
      </c>
      <c r="E97" s="233">
        <f>D97</f>
        <v>37966</v>
      </c>
      <c r="F97" s="233">
        <f>F98+C97-C98</f>
        <v>52877</v>
      </c>
      <c r="G97" s="233" t="s">
        <v>148</v>
      </c>
      <c r="H97" s="233" t="s">
        <v>148</v>
      </c>
      <c r="I97" s="233" t="s">
        <v>148</v>
      </c>
      <c r="J97" s="232" t="s">
        <v>148</v>
      </c>
      <c r="L97" s="387"/>
    </row>
    <row r="98" spans="1:12" ht="27.75" customHeight="1">
      <c r="A98" s="381" t="s">
        <v>295</v>
      </c>
      <c r="B98" s="249">
        <v>6001</v>
      </c>
      <c r="C98" s="232">
        <f>C99-C100</f>
        <v>40862</v>
      </c>
      <c r="D98" s="232">
        <f>D99-D100</f>
        <v>37966</v>
      </c>
      <c r="E98" s="232">
        <f>E99-E100</f>
        <v>37966</v>
      </c>
      <c r="F98" s="232">
        <f>F99-F100</f>
        <v>51587</v>
      </c>
      <c r="G98" s="232" t="s">
        <v>148</v>
      </c>
      <c r="H98" s="232" t="s">
        <v>148</v>
      </c>
      <c r="I98" s="232" t="s">
        <v>148</v>
      </c>
      <c r="J98" s="232" t="s">
        <v>148</v>
      </c>
      <c r="L98" s="387"/>
    </row>
    <row r="99" spans="1:12" ht="27.75" customHeight="1">
      <c r="A99" s="381" t="s">
        <v>219</v>
      </c>
      <c r="B99" s="249">
        <v>6002</v>
      </c>
      <c r="C99" s="232">
        <v>69473</v>
      </c>
      <c r="D99" s="232">
        <v>72596</v>
      </c>
      <c r="E99" s="232">
        <f>D99</f>
        <v>72596</v>
      </c>
      <c r="F99" s="232">
        <f>E99+'IV. Кап. інвестиції'!F7</f>
        <v>92423</v>
      </c>
      <c r="G99" s="232" t="s">
        <v>148</v>
      </c>
      <c r="H99" s="232" t="s">
        <v>148</v>
      </c>
      <c r="I99" s="232" t="s">
        <v>148</v>
      </c>
      <c r="J99" s="232" t="s">
        <v>148</v>
      </c>
      <c r="L99" s="387"/>
    </row>
    <row r="100" spans="1:12" ht="27.75" customHeight="1">
      <c r="A100" s="381" t="s">
        <v>220</v>
      </c>
      <c r="B100" s="249">
        <v>6003</v>
      </c>
      <c r="C100" s="232">
        <v>28611</v>
      </c>
      <c r="D100" s="232">
        <v>34630</v>
      </c>
      <c r="E100" s="232">
        <f>D100</f>
        <v>34630</v>
      </c>
      <c r="F100" s="232">
        <f>E100+'I. Фін результат'!F93</f>
        <v>40836</v>
      </c>
      <c r="G100" s="232" t="s">
        <v>148</v>
      </c>
      <c r="H100" s="232" t="s">
        <v>148</v>
      </c>
      <c r="I100" s="232" t="s">
        <v>148</v>
      </c>
      <c r="J100" s="232" t="s">
        <v>148</v>
      </c>
      <c r="L100" s="387"/>
    </row>
    <row r="101" spans="1:12" ht="27.75" customHeight="1">
      <c r="A101" s="382" t="s">
        <v>221</v>
      </c>
      <c r="B101" s="249">
        <v>6010</v>
      </c>
      <c r="C101" s="233">
        <v>24908</v>
      </c>
      <c r="D101" s="233">
        <v>38984</v>
      </c>
      <c r="E101" s="233">
        <v>38984</v>
      </c>
      <c r="F101" s="233">
        <v>47323</v>
      </c>
      <c r="G101" s="233" t="s">
        <v>148</v>
      </c>
      <c r="H101" s="233" t="s">
        <v>148</v>
      </c>
      <c r="I101" s="233" t="s">
        <v>148</v>
      </c>
      <c r="J101" s="232" t="s">
        <v>148</v>
      </c>
    </row>
    <row r="102" spans="1:12" ht="27.75" customHeight="1">
      <c r="A102" s="381" t="s">
        <v>296</v>
      </c>
      <c r="B102" s="249">
        <v>6011</v>
      </c>
      <c r="C102" s="232">
        <f>'ІІІ. Рух грош. коштів'!C68</f>
        <v>640</v>
      </c>
      <c r="D102" s="232">
        <f>'ІІІ. Рух грош. коштів'!D68</f>
        <v>50</v>
      </c>
      <c r="E102" s="232">
        <f>'ІІІ. Рух грош. коштів'!E68</f>
        <v>515</v>
      </c>
      <c r="F102" s="232">
        <f>'ІІІ. Рух грош. коштів'!F68</f>
        <v>623</v>
      </c>
      <c r="G102" s="232" t="s">
        <v>148</v>
      </c>
      <c r="H102" s="232" t="s">
        <v>148</v>
      </c>
      <c r="I102" s="232" t="s">
        <v>148</v>
      </c>
      <c r="J102" s="232" t="s">
        <v>148</v>
      </c>
    </row>
    <row r="103" spans="1:12" ht="27.75" customHeight="1">
      <c r="A103" s="382" t="s">
        <v>167</v>
      </c>
      <c r="B103" s="249">
        <v>6020</v>
      </c>
      <c r="C103" s="233">
        <f>C97+C101</f>
        <v>67060</v>
      </c>
      <c r="D103" s="233">
        <f t="shared" ref="D103:F103" si="16">D97+D101</f>
        <v>76950</v>
      </c>
      <c r="E103" s="233">
        <f t="shared" si="16"/>
        <v>76950</v>
      </c>
      <c r="F103" s="233">
        <f t="shared" si="16"/>
        <v>100200</v>
      </c>
      <c r="G103" s="233" t="s">
        <v>148</v>
      </c>
      <c r="H103" s="233" t="s">
        <v>148</v>
      </c>
      <c r="I103" s="233" t="s">
        <v>148</v>
      </c>
      <c r="J103" s="232" t="s">
        <v>148</v>
      </c>
    </row>
    <row r="104" spans="1:12" ht="27.75" customHeight="1">
      <c r="A104" s="382" t="s">
        <v>106</v>
      </c>
      <c r="B104" s="249">
        <v>6030</v>
      </c>
      <c r="C104" s="233">
        <v>41323</v>
      </c>
      <c r="D104" s="233">
        <v>67295</v>
      </c>
      <c r="E104" s="233">
        <f>D104</f>
        <v>67295</v>
      </c>
      <c r="F104" s="233">
        <f>E104+'I. Фін результат'!F76+'ІІ. Розр. з бюджетом'!F10+'VII Статутн капіт'!F9</f>
        <v>94833</v>
      </c>
      <c r="G104" s="232" t="s">
        <v>148</v>
      </c>
      <c r="H104" s="232" t="s">
        <v>148</v>
      </c>
      <c r="I104" s="232" t="s">
        <v>148</v>
      </c>
      <c r="J104" s="232"/>
    </row>
    <row r="105" spans="1:12" ht="27.75" customHeight="1">
      <c r="A105" s="381" t="s">
        <v>117</v>
      </c>
      <c r="B105" s="249">
        <v>6040</v>
      </c>
      <c r="C105" s="232">
        <v>8399</v>
      </c>
      <c r="D105" s="232">
        <v>4867</v>
      </c>
      <c r="E105" s="232">
        <v>5537</v>
      </c>
      <c r="F105" s="232">
        <f>'6.1. Інша інфо_1'!M61</f>
        <v>2288</v>
      </c>
      <c r="G105" s="232" t="s">
        <v>148</v>
      </c>
      <c r="H105" s="232" t="s">
        <v>148</v>
      </c>
      <c r="I105" s="232" t="s">
        <v>148</v>
      </c>
      <c r="J105" s="232" t="s">
        <v>148</v>
      </c>
    </row>
    <row r="106" spans="1:12" ht="27.75" customHeight="1">
      <c r="A106" s="381" t="s">
        <v>118</v>
      </c>
      <c r="B106" s="249">
        <v>6050</v>
      </c>
      <c r="C106" s="232">
        <v>17338</v>
      </c>
      <c r="D106" s="232">
        <v>4788</v>
      </c>
      <c r="E106" s="232">
        <v>4118</v>
      </c>
      <c r="F106" s="232">
        <v>3079</v>
      </c>
      <c r="G106" s="232" t="s">
        <v>148</v>
      </c>
      <c r="H106" s="232" t="s">
        <v>148</v>
      </c>
      <c r="I106" s="232" t="s">
        <v>148</v>
      </c>
      <c r="J106" s="232" t="s">
        <v>148</v>
      </c>
    </row>
    <row r="107" spans="1:12" ht="27.75" customHeight="1">
      <c r="A107" s="382" t="s">
        <v>166</v>
      </c>
      <c r="B107" s="249">
        <v>6060</v>
      </c>
      <c r="C107" s="233">
        <f>SUM(C105:C106)</f>
        <v>25737</v>
      </c>
      <c r="D107" s="233">
        <f>SUM(D105:D106)</f>
        <v>9655</v>
      </c>
      <c r="E107" s="233">
        <f>SUM(E105:E106)</f>
        <v>9655</v>
      </c>
      <c r="F107" s="233">
        <f>SUM(F105:F106)</f>
        <v>5367</v>
      </c>
      <c r="G107" s="233" t="s">
        <v>148</v>
      </c>
      <c r="H107" s="233" t="s">
        <v>148</v>
      </c>
      <c r="I107" s="233" t="s">
        <v>148</v>
      </c>
      <c r="J107" s="232" t="s">
        <v>148</v>
      </c>
    </row>
    <row r="108" spans="1:12" ht="27.75" customHeight="1">
      <c r="A108" s="381" t="s">
        <v>297</v>
      </c>
      <c r="B108" s="249">
        <v>6070</v>
      </c>
      <c r="C108" s="232"/>
      <c r="D108" s="232"/>
      <c r="E108" s="232"/>
      <c r="F108" s="232"/>
      <c r="G108" s="232" t="s">
        <v>148</v>
      </c>
      <c r="H108" s="232" t="s">
        <v>148</v>
      </c>
      <c r="I108" s="232" t="s">
        <v>148</v>
      </c>
      <c r="J108" s="232"/>
    </row>
    <row r="109" spans="1:12" ht="27.75" customHeight="1">
      <c r="A109" s="381" t="s">
        <v>298</v>
      </c>
      <c r="B109" s="249">
        <v>6080</v>
      </c>
      <c r="C109" s="232">
        <v>9232</v>
      </c>
      <c r="D109" s="232">
        <v>4867</v>
      </c>
      <c r="E109" s="232">
        <f>'6.1. Інша інфо_1'!D71</f>
        <v>6337</v>
      </c>
      <c r="F109" s="232">
        <f>'6.1. Інша інфо_1'!M71</f>
        <v>2288</v>
      </c>
      <c r="G109" s="232" t="s">
        <v>148</v>
      </c>
      <c r="H109" s="232" t="s">
        <v>148</v>
      </c>
      <c r="I109" s="232" t="s">
        <v>148</v>
      </c>
      <c r="J109" s="232" t="s">
        <v>148</v>
      </c>
    </row>
    <row r="110" spans="1:12" ht="27.75" customHeight="1">
      <c r="A110" s="382" t="s">
        <v>338</v>
      </c>
      <c r="B110" s="249">
        <v>6090</v>
      </c>
      <c r="C110" s="233">
        <f>C104+C107</f>
        <v>67060</v>
      </c>
      <c r="D110" s="233">
        <f t="shared" ref="D110:F110" si="17">D104+D107</f>
        <v>76950</v>
      </c>
      <c r="E110" s="233">
        <f t="shared" si="17"/>
        <v>76950</v>
      </c>
      <c r="F110" s="233">
        <f t="shared" si="17"/>
        <v>100200</v>
      </c>
      <c r="G110" s="232" t="s">
        <v>148</v>
      </c>
      <c r="H110" s="232" t="s">
        <v>148</v>
      </c>
      <c r="I110" s="232" t="s">
        <v>148</v>
      </c>
      <c r="J110" s="232"/>
    </row>
    <row r="111" spans="1:12" ht="27.75" customHeight="1">
      <c r="A111" s="382" t="s">
        <v>339</v>
      </c>
      <c r="B111" s="249">
        <v>6099</v>
      </c>
      <c r="C111" s="233">
        <f>C103-C110</f>
        <v>0</v>
      </c>
      <c r="D111" s="233">
        <f>D103-D110</f>
        <v>0</v>
      </c>
      <c r="E111" s="233">
        <f t="shared" ref="E111:F111" si="18">E103-E110</f>
        <v>0</v>
      </c>
      <c r="F111" s="233">
        <f t="shared" si="18"/>
        <v>0</v>
      </c>
      <c r="G111" s="233" t="s">
        <v>148</v>
      </c>
      <c r="H111" s="233" t="s">
        <v>148</v>
      </c>
      <c r="I111" s="233" t="s">
        <v>148</v>
      </c>
      <c r="J111" s="232" t="s">
        <v>148</v>
      </c>
    </row>
    <row r="112" spans="1:12" s="415" customFormat="1" ht="41.25" customHeight="1">
      <c r="A112" s="484" t="s">
        <v>222</v>
      </c>
      <c r="B112" s="484"/>
      <c r="C112" s="484"/>
      <c r="D112" s="484"/>
      <c r="E112" s="484"/>
      <c r="F112" s="484"/>
      <c r="G112" s="484"/>
      <c r="H112" s="484"/>
      <c r="I112" s="484"/>
      <c r="J112" s="484"/>
    </row>
    <row r="113" spans="1:12" ht="27.75" customHeight="1">
      <c r="A113" s="382" t="s">
        <v>280</v>
      </c>
      <c r="B113" s="249" t="s">
        <v>223</v>
      </c>
      <c r="C113" s="233">
        <f t="shared" ref="C113:J113" si="19">SUM(C114:C116)</f>
        <v>2500</v>
      </c>
      <c r="D113" s="233">
        <f t="shared" si="19"/>
        <v>1917</v>
      </c>
      <c r="E113" s="233">
        <f t="shared" si="19"/>
        <v>2717</v>
      </c>
      <c r="F113" s="233">
        <f t="shared" si="19"/>
        <v>0</v>
      </c>
      <c r="G113" s="233">
        <f t="shared" si="19"/>
        <v>0</v>
      </c>
      <c r="H113" s="233">
        <f t="shared" si="19"/>
        <v>0</v>
      </c>
      <c r="I113" s="233">
        <f t="shared" si="19"/>
        <v>0</v>
      </c>
      <c r="J113" s="232">
        <f t="shared" si="19"/>
        <v>0</v>
      </c>
    </row>
    <row r="114" spans="1:12" ht="27.75" customHeight="1">
      <c r="A114" s="381" t="s">
        <v>299</v>
      </c>
      <c r="B114" s="249" t="s">
        <v>224</v>
      </c>
      <c r="C114" s="232"/>
      <c r="D114" s="232"/>
      <c r="E114" s="232">
        <f>D114</f>
        <v>0</v>
      </c>
      <c r="F114" s="232">
        <f>'6.1. Інша інфо_1'!G61</f>
        <v>0</v>
      </c>
      <c r="G114" s="232"/>
      <c r="H114" s="232"/>
      <c r="I114" s="232"/>
      <c r="J114" s="232"/>
    </row>
    <row r="115" spans="1:12" ht="27.75" customHeight="1">
      <c r="A115" s="381" t="s">
        <v>300</v>
      </c>
      <c r="B115" s="249" t="s">
        <v>225</v>
      </c>
      <c r="C115" s="232">
        <v>2500</v>
      </c>
      <c r="D115" s="232">
        <v>1917</v>
      </c>
      <c r="E115" s="232">
        <v>2717</v>
      </c>
      <c r="F115" s="232">
        <f>'6.1. Інша інфо_1'!G67</f>
        <v>0</v>
      </c>
      <c r="G115" s="232"/>
      <c r="H115" s="232"/>
      <c r="I115" s="232"/>
      <c r="J115" s="232"/>
    </row>
    <row r="116" spans="1:12" ht="27.75" customHeight="1">
      <c r="A116" s="381" t="s">
        <v>301</v>
      </c>
      <c r="B116" s="249" t="s">
        <v>226</v>
      </c>
      <c r="C116" s="232"/>
      <c r="D116" s="232"/>
      <c r="E116" s="232"/>
      <c r="F116" s="232">
        <f>'6.1. Інша інфо_1'!G69</f>
        <v>0</v>
      </c>
      <c r="G116" s="232"/>
      <c r="H116" s="232"/>
      <c r="I116" s="232"/>
      <c r="J116" s="232"/>
    </row>
    <row r="117" spans="1:12" ht="46.5" customHeight="1">
      <c r="A117" s="382" t="s">
        <v>281</v>
      </c>
      <c r="B117" s="249" t="s">
        <v>227</v>
      </c>
      <c r="C117" s="233">
        <f t="shared" ref="C117:J117" si="20">SUM(C118:C120)</f>
        <v>9782</v>
      </c>
      <c r="D117" s="233">
        <f t="shared" si="20"/>
        <v>6282</v>
      </c>
      <c r="E117" s="233">
        <f t="shared" si="20"/>
        <v>5612</v>
      </c>
      <c r="F117" s="233">
        <f t="shared" si="20"/>
        <v>4049</v>
      </c>
      <c r="G117" s="233">
        <f t="shared" si="20"/>
        <v>2119</v>
      </c>
      <c r="H117" s="233">
        <f t="shared" si="20"/>
        <v>169</v>
      </c>
      <c r="I117" s="233">
        <f t="shared" si="20"/>
        <v>0</v>
      </c>
      <c r="J117" s="232">
        <f t="shared" si="20"/>
        <v>0</v>
      </c>
      <c r="L117" s="388"/>
    </row>
    <row r="118" spans="1:12" ht="27.75" customHeight="1">
      <c r="A118" s="381" t="s">
        <v>299</v>
      </c>
      <c r="B118" s="249" t="s">
        <v>228</v>
      </c>
      <c r="C118" s="232">
        <v>3616</v>
      </c>
      <c r="D118" s="232">
        <v>3532</v>
      </c>
      <c r="E118" s="232">
        <v>2862</v>
      </c>
      <c r="F118" s="232">
        <f>'6.1. Інша інфо_1'!J61</f>
        <v>3249</v>
      </c>
      <c r="G118" s="232">
        <v>2119</v>
      </c>
      <c r="H118" s="232">
        <v>169</v>
      </c>
      <c r="I118" s="232">
        <v>0</v>
      </c>
      <c r="J118" s="232"/>
    </row>
    <row r="119" spans="1:12" ht="27.75" customHeight="1">
      <c r="A119" s="381" t="s">
        <v>300</v>
      </c>
      <c r="B119" s="249" t="s">
        <v>229</v>
      </c>
      <c r="C119" s="232">
        <v>6166</v>
      </c>
      <c r="D119" s="232">
        <v>2750</v>
      </c>
      <c r="E119" s="232">
        <f>D119</f>
        <v>2750</v>
      </c>
      <c r="F119" s="232">
        <f>'6.1. Інша інфо_1'!J67</f>
        <v>800</v>
      </c>
      <c r="G119" s="232"/>
      <c r="H119" s="232"/>
      <c r="I119" s="232" t="s">
        <v>456</v>
      </c>
      <c r="J119" s="232"/>
    </row>
    <row r="120" spans="1:12" ht="27.75" customHeight="1">
      <c r="A120" s="381" t="s">
        <v>301</v>
      </c>
      <c r="B120" s="249" t="s">
        <v>230</v>
      </c>
      <c r="C120" s="232"/>
      <c r="D120" s="232"/>
      <c r="E120" s="232"/>
      <c r="F120" s="232">
        <f>'6.1. Інша інфо_1'!J69</f>
        <v>0</v>
      </c>
      <c r="G120" s="232"/>
      <c r="H120" s="232"/>
      <c r="I120" s="232"/>
      <c r="J120" s="232"/>
    </row>
    <row r="121" spans="1:12" ht="31.5" customHeight="1">
      <c r="A121" s="484" t="s">
        <v>231</v>
      </c>
      <c r="B121" s="484"/>
      <c r="C121" s="484"/>
      <c r="D121" s="484"/>
      <c r="E121" s="484"/>
      <c r="F121" s="484"/>
      <c r="G121" s="484"/>
      <c r="H121" s="484"/>
      <c r="I121" s="484"/>
      <c r="J121" s="484"/>
    </row>
    <row r="122" spans="1:12" s="366" customFormat="1" ht="69" customHeight="1">
      <c r="A122" s="385" t="s">
        <v>355</v>
      </c>
      <c r="B122" s="389" t="s">
        <v>232</v>
      </c>
      <c r="C122" s="233">
        <f>SUM(C123:C125)</f>
        <v>213</v>
      </c>
      <c r="D122" s="233">
        <f>SUM(D123:D125)</f>
        <v>213</v>
      </c>
      <c r="E122" s="233">
        <f>SUM(E123:E125)</f>
        <v>214</v>
      </c>
      <c r="F122" s="233">
        <f>SUM(F123:F125)</f>
        <v>214</v>
      </c>
      <c r="G122" s="390" t="s">
        <v>148</v>
      </c>
      <c r="H122" s="390" t="s">
        <v>148</v>
      </c>
      <c r="I122" s="390" t="s">
        <v>148</v>
      </c>
      <c r="J122" s="390" t="s">
        <v>148</v>
      </c>
    </row>
    <row r="123" spans="1:12" ht="27.75" customHeight="1">
      <c r="A123" s="381" t="s">
        <v>162</v>
      </c>
      <c r="B123" s="249" t="s">
        <v>233</v>
      </c>
      <c r="C123" s="232">
        <f>'6.1. Інша інфо_1'!D11</f>
        <v>1</v>
      </c>
      <c r="D123" s="232">
        <f>'6.1. Інша інфо_1'!F11</f>
        <v>1</v>
      </c>
      <c r="E123" s="232">
        <f>'6.1. Інша інфо_1'!H11</f>
        <v>1</v>
      </c>
      <c r="F123" s="232">
        <f>'6.1. Інша інфо_1'!J11</f>
        <v>1</v>
      </c>
      <c r="G123" s="232" t="s">
        <v>148</v>
      </c>
      <c r="H123" s="232" t="s">
        <v>148</v>
      </c>
      <c r="I123" s="232" t="s">
        <v>148</v>
      </c>
      <c r="J123" s="232" t="s">
        <v>148</v>
      </c>
    </row>
    <row r="124" spans="1:12" ht="27.75" customHeight="1">
      <c r="A124" s="381" t="s">
        <v>171</v>
      </c>
      <c r="B124" s="249" t="s">
        <v>234</v>
      </c>
      <c r="C124" s="232">
        <f>'6.1. Інша інфо_1'!D12</f>
        <v>40</v>
      </c>
      <c r="D124" s="232">
        <f>'6.1. Інша інфо_1'!F12</f>
        <v>40</v>
      </c>
      <c r="E124" s="232">
        <f>'6.1. Інша інфо_1'!H12</f>
        <v>40</v>
      </c>
      <c r="F124" s="232">
        <f>'6.1. Інша інфо_1'!J12</f>
        <v>40</v>
      </c>
      <c r="G124" s="232" t="s">
        <v>148</v>
      </c>
      <c r="H124" s="232" t="s">
        <v>148</v>
      </c>
      <c r="I124" s="232" t="s">
        <v>148</v>
      </c>
      <c r="J124" s="232" t="s">
        <v>148</v>
      </c>
    </row>
    <row r="125" spans="1:12" ht="27.75" customHeight="1">
      <c r="A125" s="381" t="s">
        <v>163</v>
      </c>
      <c r="B125" s="249" t="s">
        <v>235</v>
      </c>
      <c r="C125" s="232">
        <f>'6.1. Інша інфо_1'!D13</f>
        <v>172</v>
      </c>
      <c r="D125" s="232">
        <f>'6.1. Інша інфо_1'!F13</f>
        <v>172</v>
      </c>
      <c r="E125" s="232">
        <f>'6.1. Інша інфо_1'!H13</f>
        <v>173</v>
      </c>
      <c r="F125" s="232">
        <f>'6.1. Інша інфо_1'!J13</f>
        <v>173</v>
      </c>
      <c r="G125" s="232" t="s">
        <v>148</v>
      </c>
      <c r="H125" s="232" t="s">
        <v>148</v>
      </c>
      <c r="I125" s="232" t="s">
        <v>148</v>
      </c>
      <c r="J125" s="232" t="s">
        <v>148</v>
      </c>
    </row>
    <row r="126" spans="1:12" ht="27.75" customHeight="1">
      <c r="A126" s="382" t="s">
        <v>5</v>
      </c>
      <c r="B126" s="249" t="s">
        <v>236</v>
      </c>
      <c r="C126" s="233">
        <f>'I. Фін результат'!C91</f>
        <v>36629</v>
      </c>
      <c r="D126" s="233">
        <f>'I. Фін результат'!D91</f>
        <v>45836</v>
      </c>
      <c r="E126" s="233">
        <f>'I. Фін результат'!E91</f>
        <v>38831</v>
      </c>
      <c r="F126" s="233">
        <f>'I. Фін результат'!F91</f>
        <v>40092</v>
      </c>
      <c r="G126" s="233" t="s">
        <v>148</v>
      </c>
      <c r="H126" s="233" t="s">
        <v>148</v>
      </c>
      <c r="I126" s="233" t="s">
        <v>148</v>
      </c>
      <c r="J126" s="232" t="s">
        <v>148</v>
      </c>
    </row>
    <row r="127" spans="1:12" s="366" customFormat="1" ht="48.75" customHeight="1">
      <c r="A127" s="385" t="s">
        <v>302</v>
      </c>
      <c r="B127" s="389" t="s">
        <v>237</v>
      </c>
      <c r="C127" s="233">
        <f>'6.1. Інша інфо_1'!D22</f>
        <v>14331</v>
      </c>
      <c r="D127" s="233">
        <f>'6.1. Інша інфо_1'!F22</f>
        <v>17933</v>
      </c>
      <c r="E127" s="233">
        <f>'6.1. Інша інфо_1'!H22</f>
        <v>15121</v>
      </c>
      <c r="F127" s="233">
        <f>'6.1. Інша інфо_1'!J22</f>
        <v>15612</v>
      </c>
      <c r="G127" s="390" t="s">
        <v>148</v>
      </c>
      <c r="H127" s="390" t="s">
        <v>148</v>
      </c>
      <c r="I127" s="390" t="s">
        <v>148</v>
      </c>
      <c r="J127" s="390" t="s">
        <v>148</v>
      </c>
    </row>
    <row r="128" spans="1:12" ht="27.75" customHeight="1">
      <c r="A128" s="381" t="s">
        <v>162</v>
      </c>
      <c r="B128" s="249" t="s">
        <v>238</v>
      </c>
      <c r="C128" s="232">
        <f>'6.1. Інша інфо_1'!D23</f>
        <v>27833</v>
      </c>
      <c r="D128" s="232">
        <f>'6.1. Інша інфо_1'!F23</f>
        <v>33333</v>
      </c>
      <c r="E128" s="232">
        <f>'6.1. Інша інфо_1'!H23</f>
        <v>31750</v>
      </c>
      <c r="F128" s="232">
        <f>'6.1. Інша інфо_1'!J23</f>
        <v>33083</v>
      </c>
      <c r="G128" s="232" t="s">
        <v>148</v>
      </c>
      <c r="H128" s="232" t="s">
        <v>148</v>
      </c>
      <c r="I128" s="232" t="s">
        <v>148</v>
      </c>
      <c r="J128" s="232" t="s">
        <v>148</v>
      </c>
    </row>
    <row r="129" spans="1:10" ht="27.75" customHeight="1">
      <c r="A129" s="381" t="s">
        <v>171</v>
      </c>
      <c r="B129" s="249" t="s">
        <v>239</v>
      </c>
      <c r="C129" s="232">
        <f>'6.1. Інша інфо_1'!D24</f>
        <v>17960</v>
      </c>
      <c r="D129" s="232">
        <f>'6.1. Інша інфо_1'!F24</f>
        <v>23000</v>
      </c>
      <c r="E129" s="232">
        <f>'6.1. Інша інфо_1'!H24</f>
        <v>19896</v>
      </c>
      <c r="F129" s="232">
        <f>'6.1. Інша інфо_1'!J24</f>
        <v>20573</v>
      </c>
      <c r="G129" s="232" t="s">
        <v>148</v>
      </c>
      <c r="H129" s="232" t="s">
        <v>148</v>
      </c>
      <c r="I129" s="232" t="s">
        <v>148</v>
      </c>
      <c r="J129" s="232" t="s">
        <v>148</v>
      </c>
    </row>
    <row r="130" spans="1:10" ht="27.75" customHeight="1">
      <c r="A130" s="381" t="s">
        <v>163</v>
      </c>
      <c r="B130" s="249" t="s">
        <v>240</v>
      </c>
      <c r="C130" s="232">
        <f>'6.1. Інша інфо_1'!D25</f>
        <v>13408</v>
      </c>
      <c r="D130" s="232">
        <f>'6.1. Інша інфо_1'!F25</f>
        <v>16665</v>
      </c>
      <c r="E130" s="232">
        <f>'6.1. Інша інфо_1'!H25</f>
        <v>13921</v>
      </c>
      <c r="F130" s="232">
        <f>'6.1. Інша інфо_1'!J25</f>
        <v>14364</v>
      </c>
      <c r="G130" s="232" t="s">
        <v>148</v>
      </c>
      <c r="H130" s="232" t="s">
        <v>148</v>
      </c>
      <c r="I130" s="232" t="s">
        <v>148</v>
      </c>
      <c r="J130" s="232" t="s">
        <v>148</v>
      </c>
    </row>
    <row r="131" spans="1:10" s="366" customFormat="1">
      <c r="A131" s="391"/>
      <c r="C131" s="392"/>
      <c r="D131" s="393"/>
      <c r="E131" s="393"/>
      <c r="F131" s="393"/>
      <c r="G131" s="394"/>
      <c r="H131" s="394"/>
      <c r="I131" s="394"/>
      <c r="J131" s="394"/>
    </row>
    <row r="132" spans="1:10" s="366" customFormat="1">
      <c r="A132" s="391"/>
      <c r="C132" s="392"/>
      <c r="D132" s="393"/>
      <c r="E132" s="393"/>
      <c r="F132" s="393"/>
      <c r="G132" s="394"/>
      <c r="H132" s="394"/>
      <c r="I132" s="394"/>
      <c r="J132" s="394"/>
    </row>
    <row r="133" spans="1:10" s="395" customFormat="1" ht="28.5" customHeight="1">
      <c r="A133" s="278" t="s">
        <v>519</v>
      </c>
      <c r="B133" s="279"/>
      <c r="C133" s="513" t="s">
        <v>84</v>
      </c>
      <c r="D133" s="514"/>
      <c r="E133" s="514"/>
      <c r="F133" s="514"/>
      <c r="G133" s="280"/>
      <c r="H133" s="515" t="s">
        <v>657</v>
      </c>
      <c r="I133" s="515"/>
      <c r="J133" s="515"/>
    </row>
    <row r="134" spans="1:10" s="357" customFormat="1" ht="18">
      <c r="A134" s="357" t="s">
        <v>68</v>
      </c>
      <c r="B134" s="1"/>
      <c r="C134" s="511" t="s">
        <v>69</v>
      </c>
      <c r="D134" s="511"/>
      <c r="E134" s="511"/>
      <c r="F134" s="511"/>
      <c r="G134" s="396"/>
      <c r="H134" s="512" t="s">
        <v>82</v>
      </c>
      <c r="I134" s="512"/>
      <c r="J134" s="512"/>
    </row>
    <row r="135" spans="1:10" s="366" customFormat="1">
      <c r="A135" s="27"/>
      <c r="F135" s="358"/>
      <c r="G135" s="358"/>
      <c r="H135" s="358"/>
      <c r="I135" s="358"/>
      <c r="J135" s="358"/>
    </row>
    <row r="136" spans="1:10" s="366" customFormat="1">
      <c r="A136" s="27"/>
      <c r="F136" s="358"/>
      <c r="G136" s="358"/>
      <c r="H136" s="358"/>
      <c r="I136" s="358"/>
      <c r="J136" s="358"/>
    </row>
    <row r="137" spans="1:10" s="366" customFormat="1">
      <c r="A137" s="27"/>
      <c r="F137" s="358"/>
      <c r="G137" s="358"/>
      <c r="H137" s="358"/>
      <c r="I137" s="358"/>
      <c r="J137" s="358"/>
    </row>
    <row r="138" spans="1:10" s="366" customFormat="1">
      <c r="A138" s="27"/>
      <c r="F138" s="358"/>
      <c r="G138" s="358"/>
      <c r="H138" s="358"/>
      <c r="I138" s="358"/>
      <c r="J138" s="358"/>
    </row>
    <row r="139" spans="1:10" s="366" customFormat="1">
      <c r="A139" s="27"/>
      <c r="F139" s="358"/>
      <c r="G139" s="358"/>
      <c r="H139" s="358"/>
      <c r="I139" s="358"/>
      <c r="J139" s="358"/>
    </row>
    <row r="140" spans="1:10" s="366" customFormat="1">
      <c r="A140" s="27"/>
      <c r="F140" s="358"/>
      <c r="G140" s="358"/>
      <c r="H140" s="358"/>
      <c r="I140" s="358"/>
      <c r="J140" s="358"/>
    </row>
    <row r="141" spans="1:10" s="366" customFormat="1">
      <c r="A141" s="27"/>
      <c r="F141" s="358"/>
      <c r="G141" s="358"/>
      <c r="H141" s="358"/>
      <c r="I141" s="358"/>
      <c r="J141" s="358"/>
    </row>
    <row r="142" spans="1:10" s="366" customFormat="1">
      <c r="A142" s="27"/>
      <c r="F142" s="358"/>
      <c r="G142" s="358"/>
      <c r="H142" s="358"/>
      <c r="I142" s="358"/>
      <c r="J142" s="358"/>
    </row>
    <row r="143" spans="1:10" s="366" customFormat="1">
      <c r="A143" s="27"/>
      <c r="F143" s="358"/>
      <c r="G143" s="358"/>
      <c r="H143" s="358"/>
      <c r="I143" s="358"/>
      <c r="J143" s="358"/>
    </row>
    <row r="144" spans="1:10" s="366" customFormat="1">
      <c r="A144" s="27"/>
      <c r="F144" s="358"/>
      <c r="G144" s="358"/>
      <c r="H144" s="358"/>
      <c r="I144" s="358"/>
      <c r="J144" s="358"/>
    </row>
    <row r="145" spans="1:10" s="366" customFormat="1">
      <c r="A145" s="27"/>
      <c r="F145" s="358"/>
      <c r="G145" s="358"/>
      <c r="H145" s="358"/>
      <c r="I145" s="358"/>
      <c r="J145" s="358"/>
    </row>
    <row r="146" spans="1:10" s="366" customFormat="1">
      <c r="A146" s="27"/>
      <c r="F146" s="358"/>
      <c r="G146" s="358"/>
      <c r="H146" s="358"/>
      <c r="I146" s="358"/>
      <c r="J146" s="358"/>
    </row>
    <row r="147" spans="1:10" s="366" customFormat="1">
      <c r="A147" s="27"/>
      <c r="F147" s="358"/>
      <c r="G147" s="358"/>
      <c r="H147" s="358"/>
      <c r="I147" s="358"/>
      <c r="J147" s="358"/>
    </row>
    <row r="148" spans="1:10" s="366" customFormat="1">
      <c r="A148" s="27"/>
      <c r="F148" s="358"/>
      <c r="G148" s="358"/>
      <c r="H148" s="358"/>
      <c r="I148" s="358"/>
      <c r="J148" s="358"/>
    </row>
    <row r="149" spans="1:10" s="366" customFormat="1">
      <c r="A149" s="27"/>
      <c r="F149" s="358"/>
      <c r="G149" s="358"/>
      <c r="H149" s="358"/>
      <c r="I149" s="358"/>
      <c r="J149" s="358"/>
    </row>
    <row r="150" spans="1:10" s="366" customFormat="1">
      <c r="A150" s="27"/>
      <c r="F150" s="358"/>
      <c r="G150" s="358"/>
      <c r="H150" s="358"/>
      <c r="I150" s="358"/>
      <c r="J150" s="358"/>
    </row>
    <row r="151" spans="1:10" s="366" customFormat="1">
      <c r="A151" s="27"/>
      <c r="F151" s="358"/>
      <c r="G151" s="358"/>
      <c r="H151" s="358"/>
      <c r="I151" s="358"/>
      <c r="J151" s="358"/>
    </row>
    <row r="152" spans="1:10" s="366" customFormat="1">
      <c r="A152" s="27"/>
      <c r="F152" s="358"/>
      <c r="G152" s="358"/>
      <c r="H152" s="358"/>
      <c r="I152" s="358"/>
      <c r="J152" s="358"/>
    </row>
    <row r="153" spans="1:10" s="366" customFormat="1">
      <c r="A153" s="27"/>
      <c r="F153" s="358"/>
      <c r="G153" s="358"/>
      <c r="H153" s="358"/>
      <c r="I153" s="358"/>
      <c r="J153" s="358"/>
    </row>
    <row r="154" spans="1:10" s="366" customFormat="1">
      <c r="A154" s="27"/>
      <c r="F154" s="358"/>
      <c r="G154" s="358"/>
      <c r="H154" s="358"/>
      <c r="I154" s="358"/>
      <c r="J154" s="358"/>
    </row>
    <row r="155" spans="1:10" s="366" customFormat="1">
      <c r="A155" s="27"/>
      <c r="F155" s="358"/>
      <c r="G155" s="358"/>
      <c r="H155" s="358"/>
      <c r="I155" s="358"/>
      <c r="J155" s="358"/>
    </row>
    <row r="156" spans="1:10" s="366" customFormat="1">
      <c r="A156" s="27"/>
      <c r="F156" s="358"/>
      <c r="G156" s="358"/>
      <c r="H156" s="358"/>
      <c r="I156" s="358"/>
      <c r="J156" s="358"/>
    </row>
    <row r="157" spans="1:10" s="366" customFormat="1">
      <c r="A157" s="27"/>
      <c r="F157" s="358"/>
      <c r="G157" s="358"/>
      <c r="H157" s="358"/>
      <c r="I157" s="358"/>
      <c r="J157" s="358"/>
    </row>
    <row r="158" spans="1:10" s="366" customFormat="1">
      <c r="A158" s="27"/>
      <c r="F158" s="358"/>
      <c r="G158" s="358"/>
      <c r="H158" s="358"/>
      <c r="I158" s="358"/>
      <c r="J158" s="358"/>
    </row>
    <row r="159" spans="1:10" s="366" customFormat="1">
      <c r="A159" s="27"/>
      <c r="F159" s="358"/>
      <c r="G159" s="358"/>
      <c r="H159" s="358"/>
      <c r="I159" s="358"/>
      <c r="J159" s="358"/>
    </row>
    <row r="160" spans="1:10" s="366" customFormat="1">
      <c r="A160" s="27"/>
      <c r="F160" s="358"/>
      <c r="G160" s="358"/>
      <c r="H160" s="358"/>
      <c r="I160" s="358"/>
      <c r="J160" s="358"/>
    </row>
    <row r="161" spans="1:10" s="366" customFormat="1">
      <c r="A161" s="27"/>
      <c r="F161" s="358"/>
      <c r="G161" s="358"/>
      <c r="H161" s="358"/>
      <c r="I161" s="358"/>
      <c r="J161" s="358"/>
    </row>
    <row r="162" spans="1:10" s="366" customFormat="1">
      <c r="A162" s="27"/>
      <c r="F162" s="358"/>
      <c r="G162" s="358"/>
      <c r="H162" s="358"/>
      <c r="I162" s="358"/>
      <c r="J162" s="358"/>
    </row>
    <row r="163" spans="1:10" s="366" customFormat="1">
      <c r="A163" s="27"/>
      <c r="F163" s="358"/>
      <c r="G163" s="358"/>
      <c r="H163" s="358"/>
      <c r="I163" s="358"/>
      <c r="J163" s="358"/>
    </row>
    <row r="164" spans="1:10" s="366" customFormat="1">
      <c r="A164" s="27"/>
      <c r="F164" s="358"/>
      <c r="G164" s="358"/>
      <c r="H164" s="358"/>
      <c r="I164" s="358"/>
      <c r="J164" s="358"/>
    </row>
    <row r="165" spans="1:10" s="366" customFormat="1">
      <c r="A165" s="27"/>
      <c r="F165" s="358"/>
      <c r="G165" s="358"/>
      <c r="H165" s="358"/>
      <c r="I165" s="358"/>
      <c r="J165" s="358"/>
    </row>
    <row r="166" spans="1:10" s="366" customFormat="1">
      <c r="A166" s="27"/>
      <c r="F166" s="358"/>
      <c r="G166" s="358"/>
      <c r="H166" s="358"/>
      <c r="I166" s="358"/>
      <c r="J166" s="358"/>
    </row>
    <row r="167" spans="1:10" s="366" customFormat="1">
      <c r="A167" s="27"/>
      <c r="F167" s="358"/>
      <c r="G167" s="358"/>
      <c r="H167" s="358"/>
      <c r="I167" s="358"/>
      <c r="J167" s="358"/>
    </row>
    <row r="168" spans="1:10" s="366" customFormat="1">
      <c r="A168" s="27"/>
      <c r="F168" s="358"/>
      <c r="G168" s="358"/>
      <c r="H168" s="358"/>
      <c r="I168" s="358"/>
      <c r="J168" s="358"/>
    </row>
    <row r="169" spans="1:10" s="366" customFormat="1">
      <c r="A169" s="27"/>
      <c r="F169" s="358"/>
      <c r="G169" s="358"/>
      <c r="H169" s="358"/>
      <c r="I169" s="358"/>
      <c r="J169" s="358"/>
    </row>
    <row r="170" spans="1:10" s="366" customFormat="1">
      <c r="A170" s="27"/>
      <c r="F170" s="358"/>
      <c r="G170" s="358"/>
      <c r="H170" s="358"/>
      <c r="I170" s="358"/>
      <c r="J170" s="358"/>
    </row>
    <row r="171" spans="1:10" s="366" customFormat="1">
      <c r="A171" s="27"/>
      <c r="F171" s="358"/>
      <c r="G171" s="358"/>
      <c r="H171" s="358"/>
      <c r="I171" s="358"/>
      <c r="J171" s="358"/>
    </row>
    <row r="172" spans="1:10" s="366" customFormat="1">
      <c r="A172" s="27"/>
      <c r="F172" s="358"/>
      <c r="G172" s="358"/>
      <c r="H172" s="358"/>
      <c r="I172" s="358"/>
      <c r="J172" s="358"/>
    </row>
    <row r="173" spans="1:10" s="366" customFormat="1">
      <c r="A173" s="27"/>
      <c r="F173" s="358"/>
      <c r="G173" s="358"/>
      <c r="H173" s="358"/>
      <c r="I173" s="358"/>
      <c r="J173" s="358"/>
    </row>
    <row r="174" spans="1:10" s="366" customFormat="1">
      <c r="A174" s="27"/>
      <c r="F174" s="358"/>
      <c r="G174" s="358"/>
      <c r="H174" s="358"/>
      <c r="I174" s="358"/>
      <c r="J174" s="358"/>
    </row>
    <row r="175" spans="1:10" s="366" customFormat="1">
      <c r="A175" s="27"/>
      <c r="F175" s="358"/>
      <c r="G175" s="358"/>
      <c r="H175" s="358"/>
      <c r="I175" s="358"/>
      <c r="J175" s="358"/>
    </row>
    <row r="176" spans="1:10" s="366" customFormat="1">
      <c r="A176" s="27"/>
      <c r="F176" s="358"/>
      <c r="G176" s="358"/>
      <c r="H176" s="358"/>
      <c r="I176" s="358"/>
      <c r="J176" s="358"/>
    </row>
    <row r="177" spans="1:10" s="366" customFormat="1">
      <c r="A177" s="27"/>
      <c r="F177" s="358"/>
      <c r="G177" s="358"/>
      <c r="H177" s="358"/>
      <c r="I177" s="358"/>
      <c r="J177" s="358"/>
    </row>
    <row r="178" spans="1:10" s="366" customFormat="1">
      <c r="A178" s="27"/>
      <c r="F178" s="358"/>
      <c r="G178" s="358"/>
      <c r="H178" s="358"/>
      <c r="I178" s="358"/>
      <c r="J178" s="358"/>
    </row>
    <row r="179" spans="1:10" s="366" customFormat="1">
      <c r="A179" s="27"/>
      <c r="F179" s="358"/>
      <c r="G179" s="358"/>
      <c r="H179" s="358"/>
      <c r="I179" s="358"/>
      <c r="J179" s="358"/>
    </row>
    <row r="180" spans="1:10" s="366" customFormat="1">
      <c r="A180" s="27"/>
      <c r="F180" s="358"/>
      <c r="G180" s="358"/>
      <c r="H180" s="358"/>
      <c r="I180" s="358"/>
      <c r="J180" s="358"/>
    </row>
    <row r="181" spans="1:10" s="366" customFormat="1">
      <c r="A181" s="27"/>
      <c r="F181" s="358"/>
      <c r="G181" s="358"/>
      <c r="H181" s="358"/>
      <c r="I181" s="358"/>
      <c r="J181" s="358"/>
    </row>
    <row r="182" spans="1:10" s="366" customFormat="1">
      <c r="A182" s="27"/>
      <c r="F182" s="358"/>
      <c r="G182" s="358"/>
      <c r="H182" s="358"/>
      <c r="I182" s="358"/>
      <c r="J182" s="358"/>
    </row>
    <row r="183" spans="1:10" s="366" customFormat="1">
      <c r="A183" s="27"/>
      <c r="F183" s="358"/>
      <c r="G183" s="358"/>
      <c r="H183" s="358"/>
      <c r="I183" s="358"/>
      <c r="J183" s="358"/>
    </row>
    <row r="184" spans="1:10" s="366" customFormat="1">
      <c r="A184" s="27"/>
      <c r="F184" s="358"/>
      <c r="G184" s="358"/>
      <c r="H184" s="358"/>
      <c r="I184" s="358"/>
      <c r="J184" s="358"/>
    </row>
    <row r="185" spans="1:10" s="366" customFormat="1">
      <c r="A185" s="27"/>
      <c r="F185" s="358"/>
      <c r="G185" s="358"/>
      <c r="H185" s="358"/>
      <c r="I185" s="358"/>
      <c r="J185" s="358"/>
    </row>
    <row r="186" spans="1:10" s="366" customFormat="1">
      <c r="A186" s="27"/>
      <c r="F186" s="358"/>
      <c r="G186" s="358"/>
      <c r="H186" s="358"/>
      <c r="I186" s="358"/>
      <c r="J186" s="358"/>
    </row>
    <row r="187" spans="1:10" s="366" customFormat="1">
      <c r="A187" s="27"/>
      <c r="F187" s="358"/>
      <c r="G187" s="358"/>
      <c r="H187" s="358"/>
      <c r="I187" s="358"/>
      <c r="J187" s="358"/>
    </row>
    <row r="188" spans="1:10" s="366" customFormat="1">
      <c r="A188" s="27"/>
      <c r="F188" s="358"/>
      <c r="G188" s="358"/>
      <c r="H188" s="358"/>
      <c r="I188" s="358"/>
      <c r="J188" s="358"/>
    </row>
    <row r="189" spans="1:10" s="366" customFormat="1">
      <c r="A189" s="27"/>
      <c r="F189" s="358"/>
      <c r="G189" s="358"/>
      <c r="H189" s="358"/>
      <c r="I189" s="358"/>
      <c r="J189" s="358"/>
    </row>
    <row r="190" spans="1:10" s="366" customFormat="1">
      <c r="A190" s="27"/>
      <c r="F190" s="358"/>
      <c r="G190" s="358"/>
      <c r="H190" s="358"/>
      <c r="I190" s="358"/>
      <c r="J190" s="358"/>
    </row>
    <row r="191" spans="1:10" s="366" customFormat="1">
      <c r="A191" s="27"/>
      <c r="F191" s="358"/>
      <c r="G191" s="358"/>
      <c r="H191" s="358"/>
      <c r="I191" s="358"/>
      <c r="J191" s="358"/>
    </row>
    <row r="192" spans="1:10" s="366" customFormat="1">
      <c r="A192" s="27"/>
      <c r="F192" s="358"/>
      <c r="G192" s="358"/>
      <c r="H192" s="358"/>
      <c r="I192" s="358"/>
      <c r="J192" s="358"/>
    </row>
    <row r="193" spans="1:10" s="366" customFormat="1">
      <c r="A193" s="27"/>
      <c r="F193" s="358"/>
      <c r="G193" s="358"/>
      <c r="H193" s="358"/>
      <c r="I193" s="358"/>
      <c r="J193" s="358"/>
    </row>
    <row r="194" spans="1:10" s="366" customFormat="1">
      <c r="A194" s="27"/>
      <c r="F194" s="358"/>
      <c r="G194" s="358"/>
      <c r="H194" s="358"/>
      <c r="I194" s="358"/>
      <c r="J194" s="358"/>
    </row>
    <row r="195" spans="1:10" s="366" customFormat="1">
      <c r="A195" s="27"/>
      <c r="F195" s="358"/>
      <c r="G195" s="358"/>
      <c r="H195" s="358"/>
      <c r="I195" s="358"/>
      <c r="J195" s="358"/>
    </row>
    <row r="196" spans="1:10" s="366" customFormat="1">
      <c r="A196" s="27"/>
      <c r="F196" s="358"/>
      <c r="G196" s="358"/>
      <c r="H196" s="358"/>
      <c r="I196" s="358"/>
      <c r="J196" s="358"/>
    </row>
    <row r="197" spans="1:10" s="366" customFormat="1">
      <c r="A197" s="27"/>
      <c r="F197" s="358"/>
      <c r="G197" s="358"/>
      <c r="H197" s="358"/>
      <c r="I197" s="358"/>
      <c r="J197" s="358"/>
    </row>
    <row r="198" spans="1:10" s="366" customFormat="1">
      <c r="A198" s="27"/>
      <c r="F198" s="358"/>
      <c r="G198" s="358"/>
      <c r="H198" s="358"/>
      <c r="I198" s="358"/>
      <c r="J198" s="358"/>
    </row>
    <row r="199" spans="1:10" s="366" customFormat="1">
      <c r="A199" s="27"/>
      <c r="F199" s="358"/>
      <c r="G199" s="358"/>
      <c r="H199" s="358"/>
      <c r="I199" s="358"/>
      <c r="J199" s="358"/>
    </row>
    <row r="200" spans="1:10" s="366" customFormat="1">
      <c r="A200" s="27"/>
      <c r="F200" s="358"/>
      <c r="G200" s="358"/>
      <c r="H200" s="358"/>
      <c r="I200" s="358"/>
      <c r="J200" s="358"/>
    </row>
    <row r="201" spans="1:10" s="366" customFormat="1">
      <c r="A201" s="27"/>
      <c r="F201" s="358"/>
      <c r="G201" s="358"/>
      <c r="H201" s="358"/>
      <c r="I201" s="358"/>
      <c r="J201" s="358"/>
    </row>
    <row r="202" spans="1:10" s="366" customFormat="1">
      <c r="A202" s="27"/>
      <c r="F202" s="358"/>
      <c r="G202" s="358"/>
      <c r="H202" s="358"/>
      <c r="I202" s="358"/>
      <c r="J202" s="358"/>
    </row>
    <row r="203" spans="1:10" s="366" customFormat="1">
      <c r="A203" s="27"/>
      <c r="F203" s="358"/>
      <c r="G203" s="358"/>
      <c r="H203" s="358"/>
      <c r="I203" s="358"/>
      <c r="J203" s="358"/>
    </row>
    <row r="204" spans="1:10" s="366" customFormat="1">
      <c r="A204" s="27"/>
      <c r="F204" s="358"/>
      <c r="G204" s="358"/>
      <c r="H204" s="358"/>
      <c r="I204" s="358"/>
      <c r="J204" s="358"/>
    </row>
    <row r="205" spans="1:10" s="366" customFormat="1">
      <c r="A205" s="27"/>
      <c r="F205" s="358"/>
      <c r="G205" s="358"/>
      <c r="H205" s="358"/>
      <c r="I205" s="358"/>
      <c r="J205" s="358"/>
    </row>
    <row r="206" spans="1:10" s="366" customFormat="1">
      <c r="A206" s="27"/>
      <c r="F206" s="358"/>
      <c r="G206" s="358"/>
      <c r="H206" s="358"/>
      <c r="I206" s="358"/>
      <c r="J206" s="358"/>
    </row>
    <row r="207" spans="1:10" s="366" customFormat="1">
      <c r="A207" s="27"/>
      <c r="F207" s="358"/>
      <c r="G207" s="358"/>
      <c r="H207" s="358"/>
      <c r="I207" s="358"/>
      <c r="J207" s="358"/>
    </row>
    <row r="208" spans="1:10" s="366" customFormat="1">
      <c r="A208" s="27"/>
      <c r="F208" s="358"/>
      <c r="G208" s="358"/>
      <c r="H208" s="358"/>
      <c r="I208" s="358"/>
      <c r="J208" s="358"/>
    </row>
    <row r="209" spans="1:10" s="366" customFormat="1">
      <c r="A209" s="27"/>
      <c r="F209" s="358"/>
      <c r="G209" s="358"/>
      <c r="H209" s="358"/>
      <c r="I209" s="358"/>
      <c r="J209" s="358"/>
    </row>
    <row r="210" spans="1:10" s="366" customFormat="1">
      <c r="A210" s="27"/>
      <c r="F210" s="358"/>
      <c r="G210" s="358"/>
      <c r="H210" s="358"/>
      <c r="I210" s="358"/>
      <c r="J210" s="358"/>
    </row>
    <row r="211" spans="1:10" s="366" customFormat="1">
      <c r="A211" s="27"/>
      <c r="F211" s="358"/>
      <c r="G211" s="358"/>
      <c r="H211" s="358"/>
      <c r="I211" s="358"/>
      <c r="J211" s="358"/>
    </row>
    <row r="212" spans="1:10" s="366" customFormat="1">
      <c r="A212" s="27"/>
      <c r="F212" s="358"/>
      <c r="G212" s="358"/>
      <c r="H212" s="358"/>
      <c r="I212" s="358"/>
      <c r="J212" s="358"/>
    </row>
    <row r="213" spans="1:10" s="366" customFormat="1">
      <c r="A213" s="27"/>
      <c r="F213" s="358"/>
      <c r="G213" s="358"/>
      <c r="H213" s="358"/>
      <c r="I213" s="358"/>
      <c r="J213" s="358"/>
    </row>
    <row r="214" spans="1:10" s="366" customFormat="1">
      <c r="A214" s="27"/>
      <c r="F214" s="358"/>
      <c r="G214" s="358"/>
      <c r="H214" s="358"/>
      <c r="I214" s="358"/>
      <c r="J214" s="358"/>
    </row>
    <row r="215" spans="1:10" s="366" customFormat="1">
      <c r="A215" s="27"/>
      <c r="F215" s="358"/>
      <c r="G215" s="358"/>
      <c r="H215" s="358"/>
      <c r="I215" s="358"/>
      <c r="J215" s="358"/>
    </row>
    <row r="216" spans="1:10" s="366" customFormat="1">
      <c r="A216" s="27"/>
      <c r="F216" s="358"/>
      <c r="G216" s="358"/>
      <c r="H216" s="358"/>
      <c r="I216" s="358"/>
      <c r="J216" s="358"/>
    </row>
    <row r="217" spans="1:10" s="366" customFormat="1">
      <c r="A217" s="27"/>
      <c r="F217" s="358"/>
      <c r="G217" s="358"/>
      <c r="H217" s="358"/>
      <c r="I217" s="358"/>
      <c r="J217" s="358"/>
    </row>
    <row r="218" spans="1:10" s="366" customFormat="1">
      <c r="A218" s="27"/>
      <c r="F218" s="358"/>
      <c r="G218" s="358"/>
      <c r="H218" s="358"/>
      <c r="I218" s="358"/>
      <c r="J218" s="358"/>
    </row>
    <row r="219" spans="1:10" s="366" customFormat="1">
      <c r="A219" s="27"/>
      <c r="F219" s="358"/>
      <c r="G219" s="358"/>
      <c r="H219" s="358"/>
      <c r="I219" s="358"/>
      <c r="J219" s="358"/>
    </row>
    <row r="220" spans="1:10" s="366" customFormat="1">
      <c r="A220" s="27"/>
      <c r="F220" s="358"/>
      <c r="G220" s="358"/>
      <c r="H220" s="358"/>
      <c r="I220" s="358"/>
      <c r="J220" s="358"/>
    </row>
    <row r="221" spans="1:10" s="366" customFormat="1">
      <c r="A221" s="27"/>
      <c r="F221" s="358"/>
      <c r="G221" s="358"/>
      <c r="H221" s="358"/>
      <c r="I221" s="358"/>
      <c r="J221" s="358"/>
    </row>
    <row r="222" spans="1:10" s="366" customFormat="1">
      <c r="A222" s="27"/>
      <c r="F222" s="358"/>
      <c r="G222" s="358"/>
      <c r="H222" s="358"/>
      <c r="I222" s="358"/>
      <c r="J222" s="358"/>
    </row>
    <row r="223" spans="1:10" s="366" customFormat="1">
      <c r="A223" s="27"/>
      <c r="F223" s="358"/>
      <c r="G223" s="358"/>
      <c r="H223" s="358"/>
      <c r="I223" s="358"/>
      <c r="J223" s="358"/>
    </row>
    <row r="224" spans="1:10" s="366" customFormat="1">
      <c r="A224" s="27"/>
      <c r="F224" s="358"/>
      <c r="G224" s="358"/>
      <c r="H224" s="358"/>
      <c r="I224" s="358"/>
      <c r="J224" s="358"/>
    </row>
    <row r="225" spans="1:10" s="366" customFormat="1">
      <c r="A225" s="27"/>
      <c r="F225" s="358"/>
      <c r="G225" s="358"/>
      <c r="H225" s="358"/>
      <c r="I225" s="358"/>
      <c r="J225" s="358"/>
    </row>
    <row r="226" spans="1:10" s="366" customFormat="1">
      <c r="A226" s="27"/>
      <c r="F226" s="358"/>
      <c r="G226" s="358"/>
      <c r="H226" s="358"/>
      <c r="I226" s="358"/>
      <c r="J226" s="358"/>
    </row>
    <row r="227" spans="1:10" s="366" customFormat="1">
      <c r="A227" s="27"/>
      <c r="F227" s="358"/>
      <c r="G227" s="358"/>
      <c r="H227" s="358"/>
      <c r="I227" s="358"/>
      <c r="J227" s="358"/>
    </row>
    <row r="228" spans="1:10" s="366" customFormat="1">
      <c r="A228" s="27"/>
      <c r="F228" s="358"/>
      <c r="G228" s="358"/>
      <c r="H228" s="358"/>
      <c r="I228" s="358"/>
      <c r="J228" s="358"/>
    </row>
    <row r="229" spans="1:10" s="366" customFormat="1">
      <c r="A229" s="27"/>
      <c r="F229" s="358"/>
      <c r="G229" s="358"/>
      <c r="H229" s="358"/>
      <c r="I229" s="358"/>
      <c r="J229" s="358"/>
    </row>
    <row r="230" spans="1:10" s="366" customFormat="1">
      <c r="A230" s="27"/>
      <c r="F230" s="358"/>
      <c r="G230" s="358"/>
      <c r="H230" s="358"/>
      <c r="I230" s="358"/>
      <c r="J230" s="358"/>
    </row>
    <row r="231" spans="1:10" s="366" customFormat="1">
      <c r="A231" s="27"/>
      <c r="F231" s="358"/>
      <c r="G231" s="358"/>
      <c r="H231" s="358"/>
      <c r="I231" s="358"/>
      <c r="J231" s="358"/>
    </row>
    <row r="232" spans="1:10" s="366" customFormat="1">
      <c r="A232" s="27"/>
      <c r="F232" s="358"/>
      <c r="G232" s="358"/>
      <c r="H232" s="358"/>
      <c r="I232" s="358"/>
      <c r="J232" s="358"/>
    </row>
    <row r="233" spans="1:10" s="366" customFormat="1">
      <c r="A233" s="27"/>
      <c r="F233" s="358"/>
      <c r="G233" s="358"/>
      <c r="H233" s="358"/>
      <c r="I233" s="358"/>
      <c r="J233" s="358"/>
    </row>
    <row r="234" spans="1:10" s="366" customFormat="1">
      <c r="A234" s="27"/>
      <c r="F234" s="358"/>
      <c r="G234" s="358"/>
      <c r="H234" s="358"/>
      <c r="I234" s="358"/>
      <c r="J234" s="358"/>
    </row>
    <row r="235" spans="1:10" s="366" customFormat="1">
      <c r="A235" s="27"/>
      <c r="F235" s="358"/>
      <c r="G235" s="358"/>
      <c r="H235" s="358"/>
      <c r="I235" s="358"/>
      <c r="J235" s="358"/>
    </row>
    <row r="236" spans="1:10" s="366" customFormat="1">
      <c r="A236" s="27"/>
      <c r="F236" s="358"/>
      <c r="G236" s="358"/>
      <c r="H236" s="358"/>
      <c r="I236" s="358"/>
      <c r="J236" s="358"/>
    </row>
    <row r="237" spans="1:10" s="366" customFormat="1">
      <c r="A237" s="27"/>
      <c r="F237" s="358"/>
      <c r="G237" s="358"/>
      <c r="H237" s="358"/>
      <c r="I237" s="358"/>
      <c r="J237" s="358"/>
    </row>
    <row r="238" spans="1:10" s="366" customFormat="1">
      <c r="A238" s="27"/>
      <c r="F238" s="358"/>
      <c r="G238" s="358"/>
      <c r="H238" s="358"/>
      <c r="I238" s="358"/>
      <c r="J238" s="358"/>
    </row>
    <row r="239" spans="1:10" s="366" customFormat="1">
      <c r="A239" s="27"/>
      <c r="F239" s="358"/>
      <c r="G239" s="358"/>
      <c r="H239" s="358"/>
      <c r="I239" s="358"/>
      <c r="J239" s="358"/>
    </row>
    <row r="240" spans="1:10" s="366" customFormat="1">
      <c r="A240" s="27"/>
      <c r="F240" s="358"/>
      <c r="G240" s="358"/>
      <c r="H240" s="358"/>
      <c r="I240" s="358"/>
      <c r="J240" s="358"/>
    </row>
    <row r="241" spans="1:10" s="366" customFormat="1">
      <c r="A241" s="27"/>
      <c r="F241" s="358"/>
      <c r="G241" s="358"/>
      <c r="H241" s="358"/>
      <c r="I241" s="358"/>
      <c r="J241" s="358"/>
    </row>
    <row r="242" spans="1:10" s="366" customFormat="1">
      <c r="A242" s="27"/>
      <c r="F242" s="358"/>
      <c r="G242" s="358"/>
      <c r="H242" s="358"/>
      <c r="I242" s="358"/>
      <c r="J242" s="358"/>
    </row>
    <row r="243" spans="1:10" s="366" customFormat="1">
      <c r="A243" s="27"/>
      <c r="F243" s="358"/>
      <c r="G243" s="358"/>
      <c r="H243" s="358"/>
      <c r="I243" s="358"/>
      <c r="J243" s="358"/>
    </row>
    <row r="244" spans="1:10" s="366" customFormat="1">
      <c r="A244" s="27"/>
      <c r="F244" s="358"/>
      <c r="G244" s="358"/>
      <c r="H244" s="358"/>
      <c r="I244" s="358"/>
      <c r="J244" s="358"/>
    </row>
    <row r="245" spans="1:10" s="366" customFormat="1">
      <c r="A245" s="27"/>
      <c r="F245" s="358"/>
      <c r="G245" s="358"/>
      <c r="H245" s="358"/>
      <c r="I245" s="358"/>
      <c r="J245" s="358"/>
    </row>
    <row r="246" spans="1:10" s="366" customFormat="1">
      <c r="A246" s="27"/>
      <c r="F246" s="358"/>
      <c r="G246" s="358"/>
      <c r="H246" s="358"/>
      <c r="I246" s="358"/>
      <c r="J246" s="358"/>
    </row>
    <row r="247" spans="1:10" s="366" customFormat="1">
      <c r="A247" s="27"/>
      <c r="F247" s="358"/>
      <c r="G247" s="358"/>
      <c r="H247" s="358"/>
      <c r="I247" s="358"/>
      <c r="J247" s="358"/>
    </row>
    <row r="248" spans="1:10" s="366" customFormat="1">
      <c r="A248" s="27"/>
      <c r="F248" s="358"/>
      <c r="G248" s="358"/>
      <c r="H248" s="358"/>
      <c r="I248" s="358"/>
      <c r="J248" s="358"/>
    </row>
    <row r="249" spans="1:10" s="366" customFormat="1">
      <c r="A249" s="27"/>
      <c r="F249" s="358"/>
      <c r="G249" s="358"/>
      <c r="H249" s="358"/>
      <c r="I249" s="358"/>
      <c r="J249" s="358"/>
    </row>
    <row r="250" spans="1:10" s="366" customFormat="1">
      <c r="A250" s="27"/>
      <c r="F250" s="358"/>
      <c r="G250" s="358"/>
      <c r="H250" s="358"/>
      <c r="I250" s="358"/>
      <c r="J250" s="358"/>
    </row>
    <row r="251" spans="1:10" s="366" customFormat="1">
      <c r="A251" s="27"/>
      <c r="F251" s="358"/>
      <c r="G251" s="358"/>
      <c r="H251" s="358"/>
      <c r="I251" s="358"/>
      <c r="J251" s="358"/>
    </row>
    <row r="252" spans="1:10" s="366" customFormat="1">
      <c r="A252" s="27"/>
      <c r="F252" s="358"/>
      <c r="G252" s="358"/>
      <c r="H252" s="358"/>
      <c r="I252" s="358"/>
      <c r="J252" s="358"/>
    </row>
    <row r="253" spans="1:10" s="366" customFormat="1">
      <c r="A253" s="27"/>
      <c r="F253" s="358"/>
      <c r="G253" s="358"/>
      <c r="H253" s="358"/>
      <c r="I253" s="358"/>
      <c r="J253" s="358"/>
    </row>
    <row r="254" spans="1:10" s="366" customFormat="1">
      <c r="A254" s="27"/>
      <c r="F254" s="358"/>
      <c r="G254" s="358"/>
      <c r="H254" s="358"/>
      <c r="I254" s="358"/>
      <c r="J254" s="358"/>
    </row>
    <row r="255" spans="1:10" s="366" customFormat="1">
      <c r="A255" s="27"/>
      <c r="F255" s="358"/>
      <c r="G255" s="358"/>
      <c r="H255" s="358"/>
      <c r="I255" s="358"/>
      <c r="J255" s="358"/>
    </row>
    <row r="256" spans="1:10" s="366" customFormat="1">
      <c r="A256" s="27"/>
      <c r="F256" s="358"/>
      <c r="G256" s="358"/>
      <c r="H256" s="358"/>
      <c r="I256" s="358"/>
      <c r="J256" s="358"/>
    </row>
    <row r="257" spans="1:10" s="366" customFormat="1">
      <c r="A257" s="27"/>
      <c r="F257" s="358"/>
      <c r="G257" s="358"/>
      <c r="H257" s="358"/>
      <c r="I257" s="358"/>
      <c r="J257" s="358"/>
    </row>
    <row r="258" spans="1:10" s="366" customFormat="1">
      <c r="A258" s="27"/>
      <c r="F258" s="358"/>
      <c r="G258" s="358"/>
      <c r="H258" s="358"/>
      <c r="I258" s="358"/>
      <c r="J258" s="358"/>
    </row>
    <row r="259" spans="1:10" s="366" customFormat="1">
      <c r="A259" s="27"/>
      <c r="F259" s="358"/>
      <c r="G259" s="358"/>
      <c r="H259" s="358"/>
      <c r="I259" s="358"/>
      <c r="J259" s="358"/>
    </row>
    <row r="260" spans="1:10" s="366" customFormat="1">
      <c r="A260" s="27"/>
      <c r="F260" s="358"/>
      <c r="G260" s="358"/>
      <c r="H260" s="358"/>
      <c r="I260" s="358"/>
      <c r="J260" s="358"/>
    </row>
    <row r="261" spans="1:10" s="366" customFormat="1">
      <c r="A261" s="27"/>
      <c r="F261" s="358"/>
      <c r="G261" s="358"/>
      <c r="H261" s="358"/>
      <c r="I261" s="358"/>
      <c r="J261" s="358"/>
    </row>
    <row r="262" spans="1:10" s="366" customFormat="1">
      <c r="A262" s="27"/>
      <c r="F262" s="358"/>
      <c r="G262" s="358"/>
      <c r="H262" s="358"/>
      <c r="I262" s="358"/>
      <c r="J262" s="358"/>
    </row>
    <row r="263" spans="1:10" s="366" customFormat="1">
      <c r="A263" s="27"/>
      <c r="F263" s="358"/>
      <c r="G263" s="358"/>
      <c r="H263" s="358"/>
      <c r="I263" s="358"/>
      <c r="J263" s="358"/>
    </row>
    <row r="264" spans="1:10" s="366" customFormat="1">
      <c r="A264" s="27"/>
      <c r="F264" s="358"/>
      <c r="G264" s="358"/>
      <c r="H264" s="358"/>
      <c r="I264" s="358"/>
      <c r="J264" s="358"/>
    </row>
    <row r="265" spans="1:10" s="366" customFormat="1">
      <c r="A265" s="27"/>
      <c r="F265" s="358"/>
      <c r="G265" s="358"/>
      <c r="H265" s="358"/>
      <c r="I265" s="358"/>
      <c r="J265" s="358"/>
    </row>
    <row r="266" spans="1:10" s="366" customFormat="1">
      <c r="A266" s="27"/>
      <c r="F266" s="358"/>
      <c r="G266" s="358"/>
      <c r="H266" s="358"/>
      <c r="I266" s="358"/>
      <c r="J266" s="358"/>
    </row>
    <row r="267" spans="1:10" s="366" customFormat="1">
      <c r="A267" s="27"/>
      <c r="F267" s="358"/>
      <c r="G267" s="358"/>
      <c r="H267" s="358"/>
      <c r="I267" s="358"/>
      <c r="J267" s="358"/>
    </row>
    <row r="268" spans="1:10" s="366" customFormat="1">
      <c r="A268" s="27"/>
      <c r="F268" s="358"/>
      <c r="G268" s="358"/>
      <c r="H268" s="358"/>
      <c r="I268" s="358"/>
      <c r="J268" s="358"/>
    </row>
    <row r="269" spans="1:10" s="366" customFormat="1">
      <c r="A269" s="27"/>
      <c r="F269" s="358"/>
      <c r="G269" s="358"/>
      <c r="H269" s="358"/>
      <c r="I269" s="358"/>
      <c r="J269" s="358"/>
    </row>
    <row r="270" spans="1:10" s="366" customFormat="1">
      <c r="A270" s="27"/>
      <c r="F270" s="358"/>
      <c r="G270" s="358"/>
      <c r="H270" s="358"/>
      <c r="I270" s="358"/>
      <c r="J270" s="358"/>
    </row>
    <row r="271" spans="1:10" s="366" customFormat="1">
      <c r="A271" s="27"/>
      <c r="F271" s="358"/>
      <c r="G271" s="358"/>
      <c r="H271" s="358"/>
      <c r="I271" s="358"/>
      <c r="J271" s="358"/>
    </row>
    <row r="272" spans="1:10" s="366" customFormat="1">
      <c r="A272" s="27"/>
      <c r="F272" s="358"/>
      <c r="G272" s="358"/>
      <c r="H272" s="358"/>
      <c r="I272" s="358"/>
      <c r="J272" s="358"/>
    </row>
    <row r="273" spans="1:10" s="366" customFormat="1">
      <c r="A273" s="27"/>
      <c r="F273" s="358"/>
      <c r="G273" s="358"/>
      <c r="H273" s="358"/>
      <c r="I273" s="358"/>
      <c r="J273" s="358"/>
    </row>
    <row r="274" spans="1:10" s="366" customFormat="1">
      <c r="A274" s="27"/>
      <c r="F274" s="358"/>
      <c r="G274" s="358"/>
      <c r="H274" s="358"/>
      <c r="I274" s="358"/>
      <c r="J274" s="358"/>
    </row>
    <row r="275" spans="1:10" s="366" customFormat="1">
      <c r="A275" s="27"/>
      <c r="F275" s="358"/>
      <c r="G275" s="358"/>
      <c r="H275" s="358"/>
      <c r="I275" s="358"/>
      <c r="J275" s="358"/>
    </row>
    <row r="276" spans="1:10" s="366" customFormat="1">
      <c r="A276" s="27"/>
      <c r="F276" s="358"/>
      <c r="G276" s="358"/>
      <c r="H276" s="358"/>
      <c r="I276" s="358"/>
      <c r="J276" s="358"/>
    </row>
    <row r="277" spans="1:10" s="366" customFormat="1">
      <c r="A277" s="27"/>
      <c r="F277" s="358"/>
      <c r="G277" s="358"/>
      <c r="H277" s="358"/>
      <c r="I277" s="358"/>
      <c r="J277" s="358"/>
    </row>
    <row r="278" spans="1:10" s="366" customFormat="1">
      <c r="A278" s="27"/>
      <c r="F278" s="358"/>
      <c r="G278" s="358"/>
      <c r="H278" s="358"/>
      <c r="I278" s="358"/>
      <c r="J278" s="358"/>
    </row>
    <row r="279" spans="1:10" s="366" customFormat="1">
      <c r="A279" s="27"/>
      <c r="F279" s="358"/>
      <c r="G279" s="358"/>
      <c r="H279" s="358"/>
      <c r="I279" s="358"/>
      <c r="J279" s="358"/>
    </row>
    <row r="280" spans="1:10" s="366" customFormat="1">
      <c r="A280" s="27"/>
      <c r="F280" s="358"/>
      <c r="G280" s="358"/>
      <c r="H280" s="358"/>
      <c r="I280" s="358"/>
      <c r="J280" s="358"/>
    </row>
    <row r="281" spans="1:10" s="366" customFormat="1">
      <c r="A281" s="27"/>
      <c r="F281" s="358"/>
      <c r="G281" s="358"/>
      <c r="H281" s="358"/>
      <c r="I281" s="358"/>
      <c r="J281" s="358"/>
    </row>
    <row r="282" spans="1:10" s="366" customFormat="1">
      <c r="A282" s="27"/>
      <c r="F282" s="358"/>
      <c r="G282" s="358"/>
      <c r="H282" s="358"/>
      <c r="I282" s="358"/>
      <c r="J282" s="358"/>
    </row>
    <row r="283" spans="1:10" s="366" customFormat="1">
      <c r="A283" s="27"/>
      <c r="F283" s="358"/>
      <c r="G283" s="358"/>
      <c r="H283" s="358"/>
      <c r="I283" s="358"/>
      <c r="J283" s="358"/>
    </row>
    <row r="284" spans="1:10" s="366" customFormat="1">
      <c r="A284" s="27"/>
      <c r="F284" s="358"/>
      <c r="G284" s="358"/>
      <c r="H284" s="358"/>
      <c r="I284" s="358"/>
      <c r="J284" s="358"/>
    </row>
    <row r="285" spans="1:10" s="366" customFormat="1">
      <c r="A285" s="27"/>
      <c r="F285" s="358"/>
      <c r="G285" s="358"/>
      <c r="H285" s="358"/>
      <c r="I285" s="358"/>
      <c r="J285" s="358"/>
    </row>
  </sheetData>
  <sheetProtection algorithmName="SHA-512" hashValue="pmqWl4B36shJpPHw4WeHJROyxHScSZE+2RIKyt+ATuy1O0kN7AbE5CDeRHp/UEa670sVwm6cKvc0GVybdDENhQ==" saltValue="VTbv31hum628hlML0ibzmw==" spinCount="100000" sheet="1" objects="1" scenarios="1" selectLockedCells="1" selectUnlockedCells="1"/>
  <mergeCells count="72">
    <mergeCell ref="I51:J51"/>
    <mergeCell ref="C134:F134"/>
    <mergeCell ref="H134:J134"/>
    <mergeCell ref="C133:F133"/>
    <mergeCell ref="H133:J133"/>
    <mergeCell ref="A80:J80"/>
    <mergeCell ref="I54:J54"/>
    <mergeCell ref="I76:J76"/>
    <mergeCell ref="I77:J77"/>
    <mergeCell ref="I78:J78"/>
    <mergeCell ref="I59:J59"/>
    <mergeCell ref="I89:J89"/>
    <mergeCell ref="A18:B18"/>
    <mergeCell ref="A15:B15"/>
    <mergeCell ref="A14:B14"/>
    <mergeCell ref="G3:J3"/>
    <mergeCell ref="G5:H5"/>
    <mergeCell ref="G8:J8"/>
    <mergeCell ref="A1:B6"/>
    <mergeCell ref="G10:J10"/>
    <mergeCell ref="G12:J12"/>
    <mergeCell ref="G14:J14"/>
    <mergeCell ref="A11:B11"/>
    <mergeCell ref="A16:B16"/>
    <mergeCell ref="G1:J1"/>
    <mergeCell ref="G9:J9"/>
    <mergeCell ref="G15:J15"/>
    <mergeCell ref="A45:J45"/>
    <mergeCell ref="A44:J44"/>
    <mergeCell ref="B42:F42"/>
    <mergeCell ref="B43:F43"/>
    <mergeCell ref="B34:F34"/>
    <mergeCell ref="B39:F39"/>
    <mergeCell ref="B41:F41"/>
    <mergeCell ref="G39:H39"/>
    <mergeCell ref="B40:F40"/>
    <mergeCell ref="B36:F36"/>
    <mergeCell ref="B37:F37"/>
    <mergeCell ref="B38:E38"/>
    <mergeCell ref="F38:H38"/>
    <mergeCell ref="G47:J47"/>
    <mergeCell ref="A121:J121"/>
    <mergeCell ref="A96:J96"/>
    <mergeCell ref="A75:J75"/>
    <mergeCell ref="E47:E48"/>
    <mergeCell ref="D47:D48"/>
    <mergeCell ref="A88:J88"/>
    <mergeCell ref="A112:J112"/>
    <mergeCell ref="C47:C48"/>
    <mergeCell ref="I48:J48"/>
    <mergeCell ref="A47:A48"/>
    <mergeCell ref="B47:B48"/>
    <mergeCell ref="F47:F48"/>
    <mergeCell ref="A50:J50"/>
    <mergeCell ref="A90:J90"/>
    <mergeCell ref="I49:J49"/>
    <mergeCell ref="A20:C20"/>
    <mergeCell ref="A22:B22"/>
    <mergeCell ref="B35:G35"/>
    <mergeCell ref="G2:J2"/>
    <mergeCell ref="G4:J4"/>
    <mergeCell ref="G18:J18"/>
    <mergeCell ref="G22:J22"/>
    <mergeCell ref="G24:J24"/>
    <mergeCell ref="G20:I20"/>
    <mergeCell ref="G25:J25"/>
    <mergeCell ref="B33:F33"/>
    <mergeCell ref="A23:B23"/>
    <mergeCell ref="G23:J23"/>
    <mergeCell ref="B31:F31"/>
    <mergeCell ref="B32:F32"/>
    <mergeCell ref="A21:B21"/>
  </mergeCells>
  <phoneticPr fontId="3" type="noConversion"/>
  <pageMargins left="0.59055118110236227" right="0.59055118110236227" top="0.98425196850393704" bottom="0.59055118110236227" header="0.39370078740157483" footer="0.19685039370078741"/>
  <pageSetup paperSize="9" scale="61" orientation="landscape" r:id="rId1"/>
  <headerFooter alignWithMargins="0"/>
  <rowBreaks count="1" manualBreakCount="1">
    <brk id="43" max="8" man="1"/>
  </rowBreaks>
  <ignoredErrors>
    <ignoredError sqref="B113:B120 B122:B130" numberStoredAsText="1"/>
    <ignoredError sqref="C107" formulaRange="1"/>
    <ignoredError sqref="J91 C127:F127 C91 C92 C59:F60 G60:J60 C95 C129:F130 D128:F12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85"/>
  <sheetViews>
    <sheetView view="pageBreakPreview" topLeftCell="A54" zoomScale="66" zoomScaleNormal="75" zoomScaleSheetLayoutView="66" workbookViewId="0">
      <selection activeCell="A4" sqref="A4:O4"/>
    </sheetView>
  </sheetViews>
  <sheetFormatPr defaultColWidth="9.109375" defaultRowHeight="18"/>
  <cols>
    <col min="1" max="1" width="51.44140625" style="414" customWidth="1"/>
    <col min="2" max="2" width="13.5546875" style="441" customWidth="1"/>
    <col min="3" max="3" width="14.6640625" style="414" customWidth="1"/>
    <col min="4" max="4" width="14.88671875" style="414" customWidth="1"/>
    <col min="5" max="5" width="13.6640625" style="414" customWidth="1"/>
    <col min="6" max="6" width="15" style="414" customWidth="1"/>
    <col min="7" max="8" width="15.33203125" style="414" customWidth="1"/>
    <col min="9" max="9" width="14.5546875" style="414" customWidth="1"/>
    <col min="10" max="10" width="16.44140625" style="414" customWidth="1"/>
    <col min="11" max="11" width="14.33203125" style="414" customWidth="1"/>
    <col min="12" max="12" width="14.88671875" style="414" customWidth="1"/>
    <col min="13" max="13" width="15.109375" style="414" customWidth="1"/>
    <col min="14" max="15" width="14.44140625" style="414" customWidth="1"/>
    <col min="16" max="16" width="9.109375" style="414"/>
    <col min="17" max="17" width="10.5546875" style="414" bestFit="1" customWidth="1"/>
    <col min="18" max="16384" width="9.109375" style="414"/>
  </cols>
  <sheetData>
    <row r="1" spans="1:28" ht="21">
      <c r="A1" s="29"/>
      <c r="B1" s="285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55" t="s">
        <v>347</v>
      </c>
    </row>
    <row r="2" spans="1:28" ht="23.25" customHeight="1">
      <c r="A2" s="616" t="s">
        <v>93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</row>
    <row r="3" spans="1:28" ht="23.25" customHeight="1">
      <c r="A3" s="616" t="s">
        <v>683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</row>
    <row r="4" spans="1:28" ht="23.25" customHeight="1">
      <c r="A4" s="617" t="s">
        <v>425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</row>
    <row r="5" spans="1:28" ht="20.100000000000001" customHeight="1">
      <c r="A5" s="478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</row>
    <row r="6" spans="1:28" ht="36.75" customHeight="1">
      <c r="A6" s="618" t="s">
        <v>270</v>
      </c>
      <c r="B6" s="618"/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</row>
    <row r="7" spans="1:28" ht="24.75" customHeight="1">
      <c r="A7" s="619" t="s">
        <v>190</v>
      </c>
      <c r="B7" s="619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</row>
    <row r="8" spans="1:28" s="1" customFormat="1" ht="83.25" customHeight="1">
      <c r="A8" s="494" t="s">
        <v>164</v>
      </c>
      <c r="B8" s="494"/>
      <c r="C8" s="494"/>
      <c r="D8" s="492" t="s">
        <v>660</v>
      </c>
      <c r="E8" s="492"/>
      <c r="F8" s="492" t="s">
        <v>661</v>
      </c>
      <c r="G8" s="492"/>
      <c r="H8" s="492" t="s">
        <v>641</v>
      </c>
      <c r="I8" s="492"/>
      <c r="J8" s="492" t="s">
        <v>659</v>
      </c>
      <c r="K8" s="492"/>
      <c r="L8" s="492" t="s">
        <v>642</v>
      </c>
      <c r="M8" s="492"/>
      <c r="N8" s="492" t="s">
        <v>643</v>
      </c>
      <c r="O8" s="492"/>
    </row>
    <row r="9" spans="1:28" s="1" customFormat="1" ht="24.75" customHeight="1">
      <c r="A9" s="494">
        <v>1</v>
      </c>
      <c r="B9" s="494"/>
      <c r="C9" s="494"/>
      <c r="D9" s="492">
        <v>2</v>
      </c>
      <c r="E9" s="492"/>
      <c r="F9" s="492">
        <v>3</v>
      </c>
      <c r="G9" s="492"/>
      <c r="H9" s="492">
        <v>4</v>
      </c>
      <c r="I9" s="492"/>
      <c r="J9" s="492">
        <v>5</v>
      </c>
      <c r="K9" s="492"/>
      <c r="L9" s="492">
        <v>6</v>
      </c>
      <c r="M9" s="492"/>
      <c r="N9" s="492">
        <v>7</v>
      </c>
      <c r="O9" s="492"/>
    </row>
    <row r="10" spans="1:28" s="1" customFormat="1" ht="73.5" customHeight="1">
      <c r="A10" s="620" t="s">
        <v>355</v>
      </c>
      <c r="B10" s="621"/>
      <c r="C10" s="622"/>
      <c r="D10" s="517">
        <f>SUM(D11:D13)</f>
        <v>213</v>
      </c>
      <c r="E10" s="600"/>
      <c r="F10" s="517">
        <f>SUM(F11:F13)</f>
        <v>213</v>
      </c>
      <c r="G10" s="600"/>
      <c r="H10" s="517">
        <f>SUM(H11:H13)</f>
        <v>214</v>
      </c>
      <c r="I10" s="600"/>
      <c r="J10" s="517">
        <f>SUM(J11:J13)</f>
        <v>214</v>
      </c>
      <c r="K10" s="600"/>
      <c r="L10" s="601">
        <f>J10/H10*100</f>
        <v>100</v>
      </c>
      <c r="M10" s="602"/>
      <c r="N10" s="601">
        <f>J10/D10*100</f>
        <v>100.5</v>
      </c>
      <c r="O10" s="602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</row>
    <row r="11" spans="1:28" s="1" customFormat="1" ht="26.25" customHeight="1">
      <c r="A11" s="609" t="s">
        <v>162</v>
      </c>
      <c r="B11" s="475"/>
      <c r="C11" s="610"/>
      <c r="D11" s="509">
        <v>1</v>
      </c>
      <c r="E11" s="599"/>
      <c r="F11" s="509">
        <v>1</v>
      </c>
      <c r="G11" s="599"/>
      <c r="H11" s="509">
        <f t="shared" ref="H11:H12" si="0">F11</f>
        <v>1</v>
      </c>
      <c r="I11" s="599"/>
      <c r="J11" s="509">
        <v>1</v>
      </c>
      <c r="K11" s="599"/>
      <c r="L11" s="603">
        <f>J11/H11*100</f>
        <v>100</v>
      </c>
      <c r="M11" s="604"/>
      <c r="N11" s="603">
        <f t="shared" ref="N11:N25" si="1">J11/D11*100</f>
        <v>100</v>
      </c>
      <c r="O11" s="604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7"/>
      <c r="AB11" s="407"/>
    </row>
    <row r="12" spans="1:28" s="1" customFormat="1" ht="26.25" customHeight="1">
      <c r="A12" s="609" t="s">
        <v>171</v>
      </c>
      <c r="B12" s="475"/>
      <c r="C12" s="610"/>
      <c r="D12" s="509">
        <v>40</v>
      </c>
      <c r="E12" s="599"/>
      <c r="F12" s="509">
        <v>40</v>
      </c>
      <c r="G12" s="599"/>
      <c r="H12" s="509">
        <f t="shared" si="0"/>
        <v>40</v>
      </c>
      <c r="I12" s="599"/>
      <c r="J12" s="509">
        <v>40</v>
      </c>
      <c r="K12" s="599"/>
      <c r="L12" s="603">
        <f t="shared" ref="L12:L25" si="2">J12/H12*100</f>
        <v>100</v>
      </c>
      <c r="M12" s="604"/>
      <c r="N12" s="603">
        <f t="shared" si="1"/>
        <v>100</v>
      </c>
      <c r="O12" s="604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7"/>
    </row>
    <row r="13" spans="1:28" s="1" customFormat="1" ht="26.25" customHeight="1">
      <c r="A13" s="609" t="s">
        <v>163</v>
      </c>
      <c r="B13" s="475"/>
      <c r="C13" s="610"/>
      <c r="D13" s="509">
        <v>172</v>
      </c>
      <c r="E13" s="599"/>
      <c r="F13" s="509">
        <v>172</v>
      </c>
      <c r="G13" s="599"/>
      <c r="H13" s="509">
        <v>173</v>
      </c>
      <c r="I13" s="599"/>
      <c r="J13" s="509">
        <v>173</v>
      </c>
      <c r="K13" s="599"/>
      <c r="L13" s="603">
        <f>J13/H13*100</f>
        <v>100</v>
      </c>
      <c r="M13" s="604"/>
      <c r="N13" s="603">
        <f t="shared" si="1"/>
        <v>100.6</v>
      </c>
      <c r="O13" s="604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</row>
    <row r="14" spans="1:28" s="1" customFormat="1" ht="33.75" customHeight="1">
      <c r="A14" s="620" t="s">
        <v>312</v>
      </c>
      <c r="B14" s="621"/>
      <c r="C14" s="622"/>
      <c r="D14" s="517">
        <f>SUM(D15:D17)</f>
        <v>36125</v>
      </c>
      <c r="E14" s="600"/>
      <c r="F14" s="517">
        <f>SUM(F15:F17)</f>
        <v>45836</v>
      </c>
      <c r="G14" s="600"/>
      <c r="H14" s="517">
        <f>SUM(H15:H17)</f>
        <v>38831</v>
      </c>
      <c r="I14" s="600"/>
      <c r="J14" s="517">
        <f>SUM(J15:J17)</f>
        <v>40092</v>
      </c>
      <c r="K14" s="600"/>
      <c r="L14" s="601">
        <f>J14/H14*100</f>
        <v>103.2</v>
      </c>
      <c r="M14" s="602"/>
      <c r="N14" s="601">
        <f>J14/D14*100</f>
        <v>111</v>
      </c>
      <c r="O14" s="602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</row>
    <row r="15" spans="1:28" s="1" customFormat="1" ht="25.5" customHeight="1">
      <c r="A15" s="609" t="s">
        <v>162</v>
      </c>
      <c r="B15" s="475"/>
      <c r="C15" s="610"/>
      <c r="D15" s="509">
        <v>334</v>
      </c>
      <c r="E15" s="599"/>
      <c r="F15" s="509">
        <v>400</v>
      </c>
      <c r="G15" s="599"/>
      <c r="H15" s="509">
        <v>381</v>
      </c>
      <c r="I15" s="599"/>
      <c r="J15" s="509">
        <v>397</v>
      </c>
      <c r="K15" s="599"/>
      <c r="L15" s="603">
        <f t="shared" si="2"/>
        <v>104.2</v>
      </c>
      <c r="M15" s="604"/>
      <c r="N15" s="603">
        <f t="shared" si="1"/>
        <v>118.9</v>
      </c>
      <c r="O15" s="604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</row>
    <row r="16" spans="1:28" s="1" customFormat="1" ht="25.5" customHeight="1">
      <c r="A16" s="609" t="s">
        <v>171</v>
      </c>
      <c r="B16" s="475"/>
      <c r="C16" s="610"/>
      <c r="D16" s="509">
        <v>8608</v>
      </c>
      <c r="E16" s="599"/>
      <c r="F16" s="509">
        <v>11040</v>
      </c>
      <c r="G16" s="599"/>
      <c r="H16" s="509">
        <v>9550</v>
      </c>
      <c r="I16" s="599"/>
      <c r="J16" s="509">
        <v>9875</v>
      </c>
      <c r="K16" s="599"/>
      <c r="L16" s="603">
        <f t="shared" si="2"/>
        <v>103.4</v>
      </c>
      <c r="M16" s="604"/>
      <c r="N16" s="603">
        <f t="shared" si="1"/>
        <v>114.7</v>
      </c>
      <c r="O16" s="604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</row>
    <row r="17" spans="1:28" s="1" customFormat="1" ht="25.5" customHeight="1">
      <c r="A17" s="609" t="s">
        <v>163</v>
      </c>
      <c r="B17" s="475"/>
      <c r="C17" s="610"/>
      <c r="D17" s="509">
        <v>27183</v>
      </c>
      <c r="E17" s="599"/>
      <c r="F17" s="509">
        <v>34396</v>
      </c>
      <c r="G17" s="599"/>
      <c r="H17" s="509">
        <v>28900</v>
      </c>
      <c r="I17" s="599"/>
      <c r="J17" s="509">
        <v>29820</v>
      </c>
      <c r="K17" s="599"/>
      <c r="L17" s="603">
        <f t="shared" si="2"/>
        <v>103.2</v>
      </c>
      <c r="M17" s="604"/>
      <c r="N17" s="603">
        <f t="shared" si="1"/>
        <v>109.7</v>
      </c>
      <c r="O17" s="604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</row>
    <row r="18" spans="1:28" s="1" customFormat="1" ht="35.25" customHeight="1">
      <c r="A18" s="620" t="s">
        <v>313</v>
      </c>
      <c r="B18" s="621"/>
      <c r="C18" s="622"/>
      <c r="D18" s="517">
        <f>'I. Фін результат'!C91</f>
        <v>36629</v>
      </c>
      <c r="E18" s="600"/>
      <c r="F18" s="517">
        <f>'I. Фін результат'!D91</f>
        <v>45836</v>
      </c>
      <c r="G18" s="600"/>
      <c r="H18" s="517">
        <v>38831</v>
      </c>
      <c r="I18" s="600"/>
      <c r="J18" s="517">
        <f>'I. Фін результат'!F91</f>
        <v>40092</v>
      </c>
      <c r="K18" s="600"/>
      <c r="L18" s="601">
        <f t="shared" si="2"/>
        <v>103.2</v>
      </c>
      <c r="M18" s="602"/>
      <c r="N18" s="601">
        <f t="shared" si="1"/>
        <v>109.5</v>
      </c>
      <c r="O18" s="602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</row>
    <row r="19" spans="1:28" s="1" customFormat="1" ht="27" customHeight="1">
      <c r="A19" s="609" t="s">
        <v>162</v>
      </c>
      <c r="B19" s="475"/>
      <c r="C19" s="610"/>
      <c r="D19" s="509">
        <v>334</v>
      </c>
      <c r="E19" s="599"/>
      <c r="F19" s="509">
        <v>400</v>
      </c>
      <c r="G19" s="599"/>
      <c r="H19" s="509">
        <v>381</v>
      </c>
      <c r="I19" s="599"/>
      <c r="J19" s="509">
        <v>397</v>
      </c>
      <c r="K19" s="599"/>
      <c r="L19" s="603">
        <f t="shared" si="2"/>
        <v>104.2</v>
      </c>
      <c r="M19" s="604"/>
      <c r="N19" s="603">
        <f t="shared" si="1"/>
        <v>118.9</v>
      </c>
      <c r="O19" s="604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</row>
    <row r="20" spans="1:28" s="1" customFormat="1" ht="27" customHeight="1">
      <c r="A20" s="609" t="s">
        <v>171</v>
      </c>
      <c r="B20" s="475"/>
      <c r="C20" s="610"/>
      <c r="D20" s="509">
        <v>8621</v>
      </c>
      <c r="E20" s="599"/>
      <c r="F20" s="509">
        <v>11040</v>
      </c>
      <c r="G20" s="599"/>
      <c r="H20" s="509">
        <v>9550</v>
      </c>
      <c r="I20" s="599"/>
      <c r="J20" s="509">
        <v>9875</v>
      </c>
      <c r="K20" s="599"/>
      <c r="L20" s="603">
        <f t="shared" si="2"/>
        <v>103.4</v>
      </c>
      <c r="M20" s="604"/>
      <c r="N20" s="603">
        <f t="shared" si="1"/>
        <v>114.5</v>
      </c>
      <c r="O20" s="604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</row>
    <row r="21" spans="1:28" s="1" customFormat="1" ht="27" customHeight="1">
      <c r="A21" s="609" t="s">
        <v>163</v>
      </c>
      <c r="B21" s="475"/>
      <c r="C21" s="610"/>
      <c r="D21" s="509">
        <v>27674</v>
      </c>
      <c r="E21" s="599"/>
      <c r="F21" s="509">
        <v>34396</v>
      </c>
      <c r="G21" s="599"/>
      <c r="H21" s="509">
        <v>28900</v>
      </c>
      <c r="I21" s="599"/>
      <c r="J21" s="509">
        <v>29820</v>
      </c>
      <c r="K21" s="599"/>
      <c r="L21" s="603">
        <f t="shared" si="2"/>
        <v>103.2</v>
      </c>
      <c r="M21" s="604"/>
      <c r="N21" s="603">
        <f t="shared" si="1"/>
        <v>107.8</v>
      </c>
      <c r="O21" s="604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</row>
    <row r="22" spans="1:28" s="1" customFormat="1" ht="55.5" customHeight="1">
      <c r="A22" s="620" t="s">
        <v>302</v>
      </c>
      <c r="B22" s="621"/>
      <c r="C22" s="622"/>
      <c r="D22" s="517">
        <f>(D18/D10)/12*1000</f>
        <v>14331</v>
      </c>
      <c r="E22" s="600"/>
      <c r="F22" s="517">
        <f t="shared" ref="F22" si="3">(F18/F10)/12*1000</f>
        <v>17933</v>
      </c>
      <c r="G22" s="600"/>
      <c r="H22" s="517">
        <f t="shared" ref="H22" si="4">(H18/H10)/12*1000</f>
        <v>15121</v>
      </c>
      <c r="I22" s="600"/>
      <c r="J22" s="517">
        <f t="shared" ref="J22" si="5">(J18/J10)/12*1000</f>
        <v>15612</v>
      </c>
      <c r="K22" s="600"/>
      <c r="L22" s="601">
        <f t="shared" si="2"/>
        <v>103.2</v>
      </c>
      <c r="M22" s="602"/>
      <c r="N22" s="601">
        <f t="shared" si="1"/>
        <v>108.9</v>
      </c>
      <c r="O22" s="602"/>
      <c r="Q22" s="407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</row>
    <row r="23" spans="1:28" s="1" customFormat="1" ht="26.25" customHeight="1">
      <c r="A23" s="609" t="s">
        <v>162</v>
      </c>
      <c r="B23" s="475"/>
      <c r="C23" s="610"/>
      <c r="D23" s="509">
        <f>(D19/D11)/12*1000</f>
        <v>27833</v>
      </c>
      <c r="E23" s="599"/>
      <c r="F23" s="509">
        <f t="shared" ref="F23" si="6">(F19/F11)/12*1000</f>
        <v>33333</v>
      </c>
      <c r="G23" s="599"/>
      <c r="H23" s="509">
        <f t="shared" ref="H23" si="7">(H19/H11)/12*1000</f>
        <v>31750</v>
      </c>
      <c r="I23" s="599"/>
      <c r="J23" s="509">
        <f t="shared" ref="J23" si="8">(J19/J11)/12*1000</f>
        <v>33083</v>
      </c>
      <c r="K23" s="599"/>
      <c r="L23" s="603">
        <f t="shared" si="2"/>
        <v>104.2</v>
      </c>
      <c r="M23" s="604"/>
      <c r="N23" s="603">
        <f t="shared" si="1"/>
        <v>118.9</v>
      </c>
      <c r="O23" s="604"/>
      <c r="Q23" s="407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</row>
    <row r="24" spans="1:28" s="1" customFormat="1" ht="26.25" customHeight="1">
      <c r="A24" s="609" t="s">
        <v>171</v>
      </c>
      <c r="B24" s="475"/>
      <c r="C24" s="610"/>
      <c r="D24" s="509">
        <f t="shared" ref="D24:D25" si="9">(D20/D12)/12*1000</f>
        <v>17960</v>
      </c>
      <c r="E24" s="599"/>
      <c r="F24" s="509">
        <f t="shared" ref="F24" si="10">(F20/F12)/12*1000</f>
        <v>23000</v>
      </c>
      <c r="G24" s="599"/>
      <c r="H24" s="509">
        <f t="shared" ref="H24" si="11">(H20/H12)/12*1000</f>
        <v>19896</v>
      </c>
      <c r="I24" s="599"/>
      <c r="J24" s="509">
        <f t="shared" ref="J24" si="12">(J20/J12)/12*1000</f>
        <v>20573</v>
      </c>
      <c r="K24" s="599"/>
      <c r="L24" s="603">
        <f t="shared" si="2"/>
        <v>103.4</v>
      </c>
      <c r="M24" s="604"/>
      <c r="N24" s="603">
        <f t="shared" si="1"/>
        <v>114.5</v>
      </c>
      <c r="O24" s="604"/>
      <c r="Q24" s="407"/>
      <c r="R24" s="407"/>
      <c r="S24" s="407"/>
      <c r="T24" s="407"/>
      <c r="U24" s="407"/>
      <c r="V24" s="407"/>
      <c r="W24" s="407"/>
      <c r="X24" s="407"/>
      <c r="Y24" s="407"/>
      <c r="Z24" s="407"/>
      <c r="AA24" s="407"/>
      <c r="AB24" s="407"/>
    </row>
    <row r="25" spans="1:28" s="1" customFormat="1" ht="26.25" customHeight="1">
      <c r="A25" s="609" t="s">
        <v>163</v>
      </c>
      <c r="B25" s="475"/>
      <c r="C25" s="610"/>
      <c r="D25" s="509">
        <f t="shared" si="9"/>
        <v>13408</v>
      </c>
      <c r="E25" s="599"/>
      <c r="F25" s="509">
        <f t="shared" ref="F25" si="13">(F21/F13)/12*1000</f>
        <v>16665</v>
      </c>
      <c r="G25" s="599"/>
      <c r="H25" s="509">
        <f t="shared" ref="H25" si="14">(H21/H13)/12*1000</f>
        <v>13921</v>
      </c>
      <c r="I25" s="599"/>
      <c r="J25" s="509">
        <f t="shared" ref="J25" si="15">(J21/J13)/12*1000</f>
        <v>14364</v>
      </c>
      <c r="K25" s="599"/>
      <c r="L25" s="603">
        <f t="shared" si="2"/>
        <v>103.2</v>
      </c>
      <c r="M25" s="604"/>
      <c r="N25" s="603">
        <f t="shared" si="1"/>
        <v>107.1</v>
      </c>
      <c r="O25" s="604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</row>
    <row r="26" spans="1:28" ht="27.75" customHeight="1">
      <c r="A26" s="614" t="s">
        <v>276</v>
      </c>
      <c r="B26" s="614"/>
      <c r="C26" s="614"/>
      <c r="D26" s="614"/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</row>
    <row r="27" spans="1:28" ht="15" customHeight="1">
      <c r="A27" s="417"/>
      <c r="B27" s="417"/>
      <c r="C27" s="417"/>
      <c r="D27" s="417"/>
      <c r="E27" s="417"/>
      <c r="F27" s="417"/>
      <c r="G27" s="417"/>
      <c r="H27" s="417"/>
      <c r="I27" s="417"/>
      <c r="J27" s="29"/>
      <c r="K27" s="29"/>
      <c r="L27" s="29"/>
      <c r="M27" s="29"/>
      <c r="N27" s="29"/>
      <c r="O27" s="29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</row>
    <row r="28" spans="1:28" ht="81" customHeight="1">
      <c r="A28" s="19"/>
      <c r="B28" s="19"/>
      <c r="C28" s="19"/>
      <c r="D28" s="19"/>
      <c r="E28" s="19"/>
      <c r="F28" s="19"/>
      <c r="G28" s="19"/>
      <c r="H28" s="19"/>
      <c r="I28" s="19" t="s">
        <v>456</v>
      </c>
      <c r="J28" s="19"/>
      <c r="K28" s="19"/>
      <c r="L28" s="19"/>
      <c r="M28" s="19"/>
      <c r="N28" s="19"/>
      <c r="O28" s="19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</row>
    <row r="29" spans="1:28" ht="40.5" customHeight="1">
      <c r="A29" s="615" t="s">
        <v>340</v>
      </c>
      <c r="B29" s="615"/>
      <c r="C29" s="615"/>
      <c r="D29" s="615"/>
      <c r="E29" s="615"/>
      <c r="F29" s="615"/>
      <c r="G29" s="615"/>
      <c r="H29" s="615"/>
      <c r="I29" s="615"/>
      <c r="J29" s="615"/>
      <c r="K29" s="29"/>
      <c r="L29" s="29"/>
      <c r="M29" s="29"/>
      <c r="N29" s="29"/>
      <c r="O29" s="29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</row>
    <row r="30" spans="1:28" ht="68.25" customHeight="1">
      <c r="A30" s="487" t="s">
        <v>395</v>
      </c>
      <c r="B30" s="481" t="s">
        <v>178</v>
      </c>
      <c r="C30" s="483"/>
      <c r="D30" s="492" t="s">
        <v>644</v>
      </c>
      <c r="E30" s="492"/>
      <c r="F30" s="492"/>
      <c r="G30" s="492" t="s">
        <v>645</v>
      </c>
      <c r="H30" s="492"/>
      <c r="I30" s="492"/>
      <c r="J30" s="481" t="s">
        <v>646</v>
      </c>
      <c r="K30" s="482"/>
      <c r="L30" s="483"/>
      <c r="M30" s="492" t="s">
        <v>665</v>
      </c>
      <c r="N30" s="492"/>
      <c r="O30" s="492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</row>
    <row r="31" spans="1:28" ht="165" customHeight="1">
      <c r="A31" s="488"/>
      <c r="B31" s="244" t="s">
        <v>675</v>
      </c>
      <c r="C31" s="244" t="s">
        <v>676</v>
      </c>
      <c r="D31" s="244" t="s">
        <v>314</v>
      </c>
      <c r="E31" s="244" t="s">
        <v>179</v>
      </c>
      <c r="F31" s="244" t="s">
        <v>315</v>
      </c>
      <c r="G31" s="244" t="s">
        <v>314</v>
      </c>
      <c r="H31" s="244" t="s">
        <v>179</v>
      </c>
      <c r="I31" s="244" t="s">
        <v>315</v>
      </c>
      <c r="J31" s="244" t="s">
        <v>314</v>
      </c>
      <c r="K31" s="244" t="s">
        <v>179</v>
      </c>
      <c r="L31" s="244" t="s">
        <v>315</v>
      </c>
      <c r="M31" s="244" t="s">
        <v>314</v>
      </c>
      <c r="N31" s="244" t="s">
        <v>179</v>
      </c>
      <c r="O31" s="244" t="s">
        <v>315</v>
      </c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</row>
    <row r="32" spans="1:28" ht="25.5" customHeight="1">
      <c r="A32" s="244">
        <v>1</v>
      </c>
      <c r="B32" s="244">
        <v>2</v>
      </c>
      <c r="C32" s="244">
        <v>3</v>
      </c>
      <c r="D32" s="244">
        <v>4</v>
      </c>
      <c r="E32" s="244">
        <v>5</v>
      </c>
      <c r="F32" s="244">
        <v>6</v>
      </c>
      <c r="G32" s="244">
        <v>7</v>
      </c>
      <c r="H32" s="245">
        <v>8</v>
      </c>
      <c r="I32" s="245">
        <v>9</v>
      </c>
      <c r="J32" s="245">
        <v>10</v>
      </c>
      <c r="K32" s="245">
        <v>11</v>
      </c>
      <c r="L32" s="245">
        <v>12</v>
      </c>
      <c r="M32" s="245">
        <v>13</v>
      </c>
      <c r="N32" s="245">
        <v>14</v>
      </c>
      <c r="O32" s="245">
        <v>15</v>
      </c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</row>
    <row r="33" spans="1:28" ht="24.9" customHeight="1">
      <c r="A33" s="310" t="s">
        <v>590</v>
      </c>
      <c r="B33" s="419">
        <f>D33/$D$44*100</f>
        <v>65.599999999999994</v>
      </c>
      <c r="C33" s="419">
        <f>M33/$M$44*100</f>
        <v>67</v>
      </c>
      <c r="D33" s="420">
        <v>66125</v>
      </c>
      <c r="E33" s="420"/>
      <c r="F33" s="420"/>
      <c r="G33" s="421">
        <v>78640</v>
      </c>
      <c r="H33" s="421"/>
      <c r="I33" s="421"/>
      <c r="J33" s="421">
        <v>58212</v>
      </c>
      <c r="K33" s="421"/>
      <c r="L33" s="421"/>
      <c r="M33" s="421">
        <v>93508</v>
      </c>
      <c r="N33" s="422"/>
      <c r="O33" s="423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</row>
    <row r="34" spans="1:28" ht="42" customHeight="1">
      <c r="A34" s="310" t="s">
        <v>625</v>
      </c>
      <c r="B34" s="419">
        <f t="shared" ref="B34:B43" si="16">D34/$D$44*100</f>
        <v>7.4</v>
      </c>
      <c r="C34" s="419">
        <f>M34/$M$44*100-0.1</f>
        <v>6.4</v>
      </c>
      <c r="D34" s="420">
        <v>7458</v>
      </c>
      <c r="E34" s="420"/>
      <c r="F34" s="420"/>
      <c r="G34" s="421">
        <v>8011</v>
      </c>
      <c r="H34" s="421"/>
      <c r="I34" s="421"/>
      <c r="J34" s="421">
        <v>6000</v>
      </c>
      <c r="K34" s="421"/>
      <c r="L34" s="421"/>
      <c r="M34" s="421">
        <v>9016</v>
      </c>
      <c r="N34" s="422"/>
      <c r="O34" s="423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</row>
    <row r="35" spans="1:28" ht="24.9" customHeight="1">
      <c r="A35" s="310" t="s">
        <v>567</v>
      </c>
      <c r="B35" s="419">
        <f t="shared" si="16"/>
        <v>17</v>
      </c>
      <c r="C35" s="419">
        <f>M35/$M$44*100-0.1</f>
        <v>20.3</v>
      </c>
      <c r="D35" s="420">
        <v>17107</v>
      </c>
      <c r="E35" s="420"/>
      <c r="F35" s="420"/>
      <c r="G35" s="421">
        <v>23867</v>
      </c>
      <c r="H35" s="421"/>
      <c r="I35" s="421"/>
      <c r="J35" s="421">
        <v>17534</v>
      </c>
      <c r="K35" s="421"/>
      <c r="L35" s="421"/>
      <c r="M35" s="421">
        <v>28412</v>
      </c>
      <c r="N35" s="422"/>
      <c r="O35" s="423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</row>
    <row r="36" spans="1:28" ht="24.9" customHeight="1">
      <c r="A36" s="310" t="s">
        <v>439</v>
      </c>
      <c r="B36" s="419">
        <f t="shared" si="16"/>
        <v>5</v>
      </c>
      <c r="C36" s="419">
        <f t="shared" ref="C36:C43" si="17">M36/$M$44*100</f>
        <v>4.0999999999999996</v>
      </c>
      <c r="D36" s="420">
        <v>5023</v>
      </c>
      <c r="E36" s="420"/>
      <c r="F36" s="420"/>
      <c r="G36" s="421">
        <v>5749</v>
      </c>
      <c r="H36" s="421"/>
      <c r="I36" s="421"/>
      <c r="J36" s="424">
        <v>4256</v>
      </c>
      <c r="K36" s="421"/>
      <c r="L36" s="421"/>
      <c r="M36" s="421">
        <v>5749</v>
      </c>
      <c r="N36" s="422"/>
      <c r="O36" s="423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</row>
    <row r="37" spans="1:28" ht="24.9" customHeight="1">
      <c r="A37" s="310" t="s">
        <v>441</v>
      </c>
      <c r="B37" s="419">
        <f t="shared" si="16"/>
        <v>0.2</v>
      </c>
      <c r="C37" s="419">
        <f t="shared" si="17"/>
        <v>0.1</v>
      </c>
      <c r="D37" s="420">
        <v>222</v>
      </c>
      <c r="E37" s="420"/>
      <c r="F37" s="420"/>
      <c r="G37" s="421">
        <v>225</v>
      </c>
      <c r="H37" s="421"/>
      <c r="I37" s="421"/>
      <c r="J37" s="421">
        <v>67</v>
      </c>
      <c r="K37" s="421"/>
      <c r="L37" s="421"/>
      <c r="M37" s="421">
        <v>88</v>
      </c>
      <c r="N37" s="422"/>
      <c r="O37" s="423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</row>
    <row r="38" spans="1:28" ht="43.5" customHeight="1">
      <c r="A38" s="425" t="s">
        <v>594</v>
      </c>
      <c r="B38" s="419">
        <f t="shared" si="16"/>
        <v>0.6</v>
      </c>
      <c r="C38" s="419">
        <f t="shared" si="17"/>
        <v>0.5</v>
      </c>
      <c r="D38" s="420">
        <v>575</v>
      </c>
      <c r="E38" s="420"/>
      <c r="F38" s="420"/>
      <c r="G38" s="421">
        <v>577</v>
      </c>
      <c r="H38" s="421"/>
      <c r="I38" s="421"/>
      <c r="J38" s="421">
        <v>244</v>
      </c>
      <c r="K38" s="421"/>
      <c r="L38" s="421"/>
      <c r="M38" s="421">
        <v>642</v>
      </c>
      <c r="N38" s="422"/>
      <c r="O38" s="423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</row>
    <row r="39" spans="1:28" ht="24.9" customHeight="1">
      <c r="A39" s="310" t="s">
        <v>591</v>
      </c>
      <c r="B39" s="419">
        <f t="shared" si="16"/>
        <v>1.7</v>
      </c>
      <c r="C39" s="419">
        <f t="shared" si="17"/>
        <v>0.2</v>
      </c>
      <c r="D39" s="420">
        <v>1685</v>
      </c>
      <c r="E39" s="420"/>
      <c r="F39" s="420"/>
      <c r="G39" s="421">
        <v>250</v>
      </c>
      <c r="H39" s="421"/>
      <c r="I39" s="421"/>
      <c r="J39" s="421">
        <v>189</v>
      </c>
      <c r="K39" s="421"/>
      <c r="L39" s="421"/>
      <c r="M39" s="421">
        <v>252</v>
      </c>
      <c r="N39" s="422"/>
      <c r="O39" s="423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</row>
    <row r="40" spans="1:28" ht="24.9" customHeight="1">
      <c r="A40" s="425" t="s">
        <v>442</v>
      </c>
      <c r="B40" s="419">
        <f t="shared" si="16"/>
        <v>1.6</v>
      </c>
      <c r="C40" s="419">
        <f t="shared" si="17"/>
        <v>0.8</v>
      </c>
      <c r="D40" s="420">
        <v>1610</v>
      </c>
      <c r="E40" s="420"/>
      <c r="F40" s="420"/>
      <c r="G40" s="421">
        <v>1403</v>
      </c>
      <c r="H40" s="421"/>
      <c r="I40" s="421"/>
      <c r="J40" s="421">
        <v>790</v>
      </c>
      <c r="K40" s="421"/>
      <c r="L40" s="421"/>
      <c r="M40" s="421">
        <v>1052</v>
      </c>
      <c r="N40" s="422"/>
      <c r="O40" s="423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</row>
    <row r="41" spans="1:28" ht="24.9" customHeight="1">
      <c r="A41" s="425" t="s">
        <v>443</v>
      </c>
      <c r="B41" s="419">
        <f t="shared" si="16"/>
        <v>0.9</v>
      </c>
      <c r="C41" s="419">
        <f t="shared" si="17"/>
        <v>0.6</v>
      </c>
      <c r="D41" s="420">
        <v>882</v>
      </c>
      <c r="E41" s="420"/>
      <c r="F41" s="420"/>
      <c r="G41" s="420">
        <v>990</v>
      </c>
      <c r="H41" s="420"/>
      <c r="I41" s="420"/>
      <c r="J41" s="420">
        <v>576</v>
      </c>
      <c r="K41" s="420"/>
      <c r="L41" s="420"/>
      <c r="M41" s="420">
        <v>768</v>
      </c>
      <c r="N41" s="422"/>
      <c r="O41" s="426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</row>
    <row r="42" spans="1:28" ht="24.9" customHeight="1">
      <c r="A42" s="310" t="s">
        <v>438</v>
      </c>
      <c r="B42" s="419">
        <f t="shared" si="16"/>
        <v>0</v>
      </c>
      <c r="C42" s="419">
        <f t="shared" si="17"/>
        <v>0</v>
      </c>
      <c r="D42" s="420">
        <v>8</v>
      </c>
      <c r="E42" s="420"/>
      <c r="F42" s="420"/>
      <c r="G42" s="421">
        <v>8</v>
      </c>
      <c r="H42" s="421"/>
      <c r="I42" s="421"/>
      <c r="J42" s="421">
        <v>12</v>
      </c>
      <c r="K42" s="421"/>
      <c r="L42" s="421"/>
      <c r="M42" s="421">
        <v>16</v>
      </c>
      <c r="N42" s="422"/>
      <c r="O42" s="423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</row>
    <row r="43" spans="1:28" ht="24.9" customHeight="1">
      <c r="A43" s="310" t="s">
        <v>440</v>
      </c>
      <c r="B43" s="419">
        <f t="shared" si="16"/>
        <v>0</v>
      </c>
      <c r="C43" s="419">
        <f t="shared" si="17"/>
        <v>0</v>
      </c>
      <c r="D43" s="420">
        <v>40</v>
      </c>
      <c r="E43" s="420"/>
      <c r="F43" s="420"/>
      <c r="G43" s="421">
        <v>32</v>
      </c>
      <c r="H43" s="421"/>
      <c r="I43" s="421"/>
      <c r="J43" s="421">
        <v>7</v>
      </c>
      <c r="K43" s="421"/>
      <c r="L43" s="421"/>
      <c r="M43" s="421">
        <v>9</v>
      </c>
      <c r="N43" s="422"/>
      <c r="O43" s="423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</row>
    <row r="44" spans="1:28" ht="30.75" customHeight="1">
      <c r="A44" s="292" t="s">
        <v>49</v>
      </c>
      <c r="B44" s="427">
        <f>SUM(B33:B43)</f>
        <v>100</v>
      </c>
      <c r="C44" s="427">
        <f>SUM(C33:C43)</f>
        <v>100</v>
      </c>
      <c r="D44" s="428">
        <f>SUM(D33:D43)</f>
        <v>100735</v>
      </c>
      <c r="E44" s="428"/>
      <c r="F44" s="428"/>
      <c r="G44" s="428">
        <f>SUM(G33:G43)</f>
        <v>119752</v>
      </c>
      <c r="H44" s="428"/>
      <c r="I44" s="428"/>
      <c r="J44" s="428">
        <f>SUM(J33:J43)</f>
        <v>87887</v>
      </c>
      <c r="K44" s="428"/>
      <c r="L44" s="428"/>
      <c r="M44" s="428">
        <f>SUM(M33:M43)</f>
        <v>139512</v>
      </c>
      <c r="N44" s="429"/>
      <c r="O44" s="429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</row>
    <row r="45" spans="1:28" ht="19.5" customHeight="1">
      <c r="A45" s="359"/>
      <c r="B45" s="430"/>
      <c r="C45" s="430"/>
      <c r="D45" s="430"/>
      <c r="E45" s="430"/>
      <c r="F45" s="246"/>
      <c r="G45" s="246"/>
      <c r="H45" s="246"/>
      <c r="I45" s="26"/>
      <c r="J45" s="26"/>
      <c r="K45" s="26"/>
      <c r="L45" s="26"/>
      <c r="M45" s="26"/>
      <c r="N45" s="26"/>
      <c r="O45" s="26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</row>
    <row r="46" spans="1:28" ht="34.5" customHeight="1">
      <c r="A46" s="618" t="s">
        <v>341</v>
      </c>
      <c r="B46" s="618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</row>
    <row r="47" spans="1:28" ht="63" customHeight="1">
      <c r="A47" s="431" t="s">
        <v>456</v>
      </c>
      <c r="B47" s="583" t="s">
        <v>62</v>
      </c>
      <c r="C47" s="583"/>
      <c r="D47" s="583" t="s">
        <v>57</v>
      </c>
      <c r="E47" s="583"/>
      <c r="F47" s="583" t="s">
        <v>58</v>
      </c>
      <c r="G47" s="583"/>
      <c r="H47" s="583" t="s">
        <v>180</v>
      </c>
      <c r="I47" s="583"/>
      <c r="J47" s="583"/>
      <c r="K47" s="623" t="s">
        <v>654</v>
      </c>
      <c r="L47" s="625"/>
      <c r="M47" s="623" t="s">
        <v>29</v>
      </c>
      <c r="N47" s="624"/>
      <c r="O47" s="625"/>
      <c r="Q47" s="407"/>
      <c r="R47" s="407"/>
      <c r="S47" s="407"/>
      <c r="T47" s="407"/>
      <c r="U47" s="407"/>
      <c r="V47" s="407"/>
      <c r="W47" s="407"/>
      <c r="X47" s="407"/>
      <c r="Y47" s="407"/>
      <c r="Z47" s="407"/>
      <c r="AA47" s="407"/>
      <c r="AB47" s="407"/>
    </row>
    <row r="48" spans="1:28" ht="25.5" customHeight="1">
      <c r="A48" s="245">
        <v>1</v>
      </c>
      <c r="B48" s="494">
        <v>2</v>
      </c>
      <c r="C48" s="494"/>
      <c r="D48" s="494">
        <v>3</v>
      </c>
      <c r="E48" s="494"/>
      <c r="F48" s="605">
        <v>4</v>
      </c>
      <c r="G48" s="605"/>
      <c r="H48" s="494">
        <v>5</v>
      </c>
      <c r="I48" s="494"/>
      <c r="J48" s="494"/>
      <c r="K48" s="494">
        <v>6</v>
      </c>
      <c r="L48" s="494"/>
      <c r="M48" s="626">
        <v>7</v>
      </c>
      <c r="N48" s="627"/>
      <c r="O48" s="628"/>
      <c r="Q48" s="407"/>
      <c r="R48" s="407"/>
      <c r="S48" s="407"/>
      <c r="T48" s="407"/>
      <c r="U48" s="407"/>
      <c r="V48" s="407"/>
      <c r="W48" s="407"/>
      <c r="X48" s="407"/>
      <c r="Y48" s="407"/>
      <c r="Z48" s="407"/>
      <c r="AA48" s="407"/>
      <c r="AB48" s="407"/>
    </row>
    <row r="49" spans="1:28" ht="38.25" customHeight="1">
      <c r="A49" s="432" t="s">
        <v>446</v>
      </c>
      <c r="B49" s="607" t="s">
        <v>447</v>
      </c>
      <c r="C49" s="608"/>
      <c r="D49" s="612">
        <v>2117</v>
      </c>
      <c r="E49" s="613"/>
      <c r="F49" s="592">
        <v>18.8</v>
      </c>
      <c r="G49" s="593"/>
      <c r="H49" s="607" t="s">
        <v>448</v>
      </c>
      <c r="I49" s="611"/>
      <c r="J49" s="608"/>
      <c r="K49" s="581">
        <v>481</v>
      </c>
      <c r="L49" s="582"/>
      <c r="M49" s="589" t="s">
        <v>449</v>
      </c>
      <c r="N49" s="590"/>
      <c r="O49" s="591"/>
      <c r="Q49" s="407"/>
      <c r="R49" s="407"/>
      <c r="S49" s="407"/>
      <c r="T49" s="407"/>
      <c r="U49" s="407"/>
      <c r="V49" s="407"/>
      <c r="W49" s="407"/>
      <c r="X49" s="407"/>
      <c r="Y49" s="407"/>
      <c r="Z49" s="407"/>
      <c r="AA49" s="407"/>
      <c r="AB49" s="407"/>
    </row>
    <row r="50" spans="1:28" ht="40.5" customHeight="1">
      <c r="A50" s="432" t="s">
        <v>446</v>
      </c>
      <c r="B50" s="607" t="s">
        <v>447</v>
      </c>
      <c r="C50" s="608"/>
      <c r="D50" s="612">
        <v>2681</v>
      </c>
      <c r="E50" s="613"/>
      <c r="F50" s="592">
        <v>18.8</v>
      </c>
      <c r="G50" s="593"/>
      <c r="H50" s="607" t="s">
        <v>450</v>
      </c>
      <c r="I50" s="611"/>
      <c r="J50" s="608"/>
      <c r="K50" s="581">
        <v>609</v>
      </c>
      <c r="L50" s="582"/>
      <c r="M50" s="589" t="s">
        <v>449</v>
      </c>
      <c r="N50" s="590"/>
      <c r="O50" s="591"/>
      <c r="Q50" s="407"/>
      <c r="R50" s="407"/>
      <c r="S50" s="407"/>
      <c r="T50" s="407"/>
      <c r="U50" s="407"/>
      <c r="V50" s="407"/>
      <c r="W50" s="407"/>
      <c r="X50" s="407"/>
      <c r="Y50" s="407"/>
      <c r="Z50" s="407"/>
      <c r="AA50" s="407"/>
      <c r="AB50" s="407"/>
    </row>
    <row r="51" spans="1:28" ht="40.5" customHeight="1">
      <c r="A51" s="432" t="s">
        <v>446</v>
      </c>
      <c r="B51" s="607" t="s">
        <v>447</v>
      </c>
      <c r="C51" s="608"/>
      <c r="D51" s="597">
        <v>1796</v>
      </c>
      <c r="E51" s="598"/>
      <c r="F51" s="592">
        <v>27.5</v>
      </c>
      <c r="G51" s="593"/>
      <c r="H51" s="607" t="s">
        <v>516</v>
      </c>
      <c r="I51" s="611"/>
      <c r="J51" s="608"/>
      <c r="K51" s="581">
        <v>975</v>
      </c>
      <c r="L51" s="582"/>
      <c r="M51" s="584" t="s">
        <v>449</v>
      </c>
      <c r="N51" s="584"/>
      <c r="O51" s="584"/>
      <c r="Q51" s="407"/>
      <c r="R51" s="407"/>
      <c r="S51" s="407"/>
      <c r="T51" s="407"/>
      <c r="U51" s="407"/>
      <c r="V51" s="407"/>
      <c r="W51" s="407"/>
      <c r="X51" s="407"/>
      <c r="Y51" s="407"/>
      <c r="Z51" s="407"/>
      <c r="AA51" s="407"/>
      <c r="AB51" s="407"/>
    </row>
    <row r="52" spans="1:28" ht="58.5" customHeight="1">
      <c r="A52" s="432" t="s">
        <v>599</v>
      </c>
      <c r="B52" s="606" t="s">
        <v>444</v>
      </c>
      <c r="C52" s="606"/>
      <c r="D52" s="612">
        <v>2750</v>
      </c>
      <c r="E52" s="613"/>
      <c r="F52" s="592">
        <v>5</v>
      </c>
      <c r="G52" s="593"/>
      <c r="H52" s="607" t="s">
        <v>452</v>
      </c>
      <c r="I52" s="611"/>
      <c r="J52" s="608"/>
      <c r="K52" s="581">
        <v>917</v>
      </c>
      <c r="L52" s="582"/>
      <c r="M52" s="584" t="s">
        <v>445</v>
      </c>
      <c r="N52" s="584"/>
      <c r="O52" s="584"/>
      <c r="Q52" s="407"/>
      <c r="R52" s="407"/>
      <c r="S52" s="407"/>
      <c r="T52" s="407"/>
      <c r="U52" s="407"/>
      <c r="V52" s="407"/>
      <c r="W52" s="407"/>
      <c r="X52" s="407"/>
      <c r="Y52" s="407"/>
      <c r="Z52" s="407"/>
      <c r="AA52" s="407"/>
      <c r="AB52" s="407"/>
    </row>
    <row r="53" spans="1:28" ht="42.75" customHeight="1">
      <c r="A53" s="432" t="s">
        <v>599</v>
      </c>
      <c r="B53" s="606" t="s">
        <v>451</v>
      </c>
      <c r="C53" s="606"/>
      <c r="D53" s="578">
        <v>5520</v>
      </c>
      <c r="E53" s="579"/>
      <c r="F53" s="580">
        <v>5</v>
      </c>
      <c r="G53" s="580"/>
      <c r="H53" s="560" t="s">
        <v>453</v>
      </c>
      <c r="I53" s="560"/>
      <c r="J53" s="560"/>
      <c r="K53" s="581">
        <v>2555</v>
      </c>
      <c r="L53" s="582"/>
      <c r="M53" s="589" t="s">
        <v>454</v>
      </c>
      <c r="N53" s="590"/>
      <c r="O53" s="591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  <c r="AB53" s="407"/>
    </row>
    <row r="54" spans="1:28" ht="82.5" customHeight="1">
      <c r="A54" s="432" t="s">
        <v>599</v>
      </c>
      <c r="B54" s="646" t="s">
        <v>674</v>
      </c>
      <c r="C54" s="647"/>
      <c r="D54" s="578">
        <v>800</v>
      </c>
      <c r="E54" s="579"/>
      <c r="F54" s="592">
        <v>12.5</v>
      </c>
      <c r="G54" s="593"/>
      <c r="H54" s="594" t="s">
        <v>672</v>
      </c>
      <c r="I54" s="595"/>
      <c r="J54" s="596"/>
      <c r="K54" s="576">
        <v>800</v>
      </c>
      <c r="L54" s="577"/>
      <c r="M54" s="589" t="s">
        <v>671</v>
      </c>
      <c r="N54" s="590"/>
      <c r="O54" s="591"/>
      <c r="Q54" s="407"/>
      <c r="R54" s="407"/>
      <c r="S54" s="407"/>
      <c r="T54" s="407"/>
      <c r="U54" s="407"/>
      <c r="V54" s="407"/>
      <c r="W54" s="407"/>
      <c r="X54" s="407"/>
      <c r="Y54" s="407"/>
      <c r="Z54" s="407"/>
      <c r="AA54" s="407"/>
      <c r="AB54" s="407"/>
    </row>
    <row r="55" spans="1:28" ht="28.5" customHeight="1">
      <c r="A55" s="292" t="s">
        <v>49</v>
      </c>
      <c r="B55" s="645" t="s">
        <v>30</v>
      </c>
      <c r="C55" s="645"/>
      <c r="D55" s="645" t="s">
        <v>30</v>
      </c>
      <c r="E55" s="645"/>
      <c r="F55" s="645" t="s">
        <v>30</v>
      </c>
      <c r="G55" s="645"/>
      <c r="H55" s="645"/>
      <c r="I55" s="645"/>
      <c r="J55" s="645"/>
      <c r="K55" s="517">
        <f>SUM(K49:L54)</f>
        <v>6337</v>
      </c>
      <c r="L55" s="600"/>
      <c r="M55" s="648"/>
      <c r="N55" s="648"/>
      <c r="O55" s="648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</row>
    <row r="56" spans="1:28" ht="18" customHeight="1">
      <c r="A56" s="246"/>
      <c r="B56" s="19"/>
      <c r="C56" s="19"/>
      <c r="D56" s="19"/>
      <c r="E56" s="19"/>
      <c r="F56" s="19"/>
      <c r="G56" s="19"/>
      <c r="H56" s="19"/>
      <c r="I56" s="19"/>
      <c r="J56" s="19"/>
      <c r="K56" s="18"/>
      <c r="L56" s="18"/>
      <c r="M56" s="18"/>
      <c r="N56" s="18"/>
      <c r="O56" s="18"/>
      <c r="Q56" s="407"/>
      <c r="R56" s="407"/>
      <c r="S56" s="407"/>
      <c r="T56" s="407"/>
      <c r="U56" s="407"/>
      <c r="V56" s="407"/>
      <c r="W56" s="407"/>
      <c r="X56" s="407"/>
      <c r="Y56" s="407"/>
      <c r="Z56" s="407"/>
      <c r="AA56" s="407"/>
      <c r="AB56" s="407"/>
    </row>
    <row r="57" spans="1:28" ht="20.100000000000001" customHeight="1">
      <c r="A57" s="618" t="s">
        <v>342</v>
      </c>
      <c r="B57" s="618"/>
      <c r="C57" s="618"/>
      <c r="D57" s="618"/>
      <c r="E57" s="618"/>
      <c r="F57" s="618"/>
      <c r="G57" s="618"/>
      <c r="H57" s="618"/>
      <c r="I57" s="618"/>
      <c r="J57" s="618"/>
      <c r="K57" s="618"/>
      <c r="L57" s="618"/>
      <c r="M57" s="618"/>
      <c r="N57" s="618"/>
      <c r="O57" s="618"/>
      <c r="Q57" s="407"/>
      <c r="R57" s="407"/>
      <c r="S57" s="407"/>
      <c r="T57" s="407"/>
      <c r="U57" s="407"/>
      <c r="V57" s="407"/>
      <c r="W57" s="407"/>
      <c r="X57" s="407"/>
      <c r="Y57" s="407"/>
      <c r="Z57" s="407"/>
      <c r="AA57" s="407"/>
      <c r="AB57" s="407"/>
    </row>
    <row r="58" spans="1:28" ht="20.100000000000001" customHeight="1">
      <c r="A58" s="26"/>
      <c r="B58" s="26"/>
      <c r="C58" s="26"/>
      <c r="D58" s="26"/>
      <c r="E58" s="26"/>
      <c r="F58" s="26"/>
      <c r="G58" s="26"/>
      <c r="H58" s="26"/>
      <c r="I58" s="28"/>
      <c r="J58" s="29"/>
      <c r="K58" s="29"/>
      <c r="L58" s="29"/>
      <c r="M58" s="29"/>
      <c r="N58" s="29"/>
      <c r="O58" s="29"/>
      <c r="Q58" s="407"/>
      <c r="R58" s="407"/>
      <c r="S58" s="407"/>
      <c r="T58" s="407"/>
      <c r="U58" s="407"/>
      <c r="V58" s="407"/>
      <c r="W58" s="407"/>
      <c r="X58" s="407"/>
      <c r="Y58" s="407"/>
      <c r="Z58" s="407"/>
      <c r="AA58" s="407"/>
      <c r="AB58" s="407"/>
    </row>
    <row r="59" spans="1:28" ht="52.5" customHeight="1">
      <c r="A59" s="583" t="s">
        <v>56</v>
      </c>
      <c r="B59" s="583"/>
      <c r="C59" s="583"/>
      <c r="D59" s="583" t="s">
        <v>647</v>
      </c>
      <c r="E59" s="583"/>
      <c r="F59" s="583"/>
      <c r="G59" s="583" t="s">
        <v>196</v>
      </c>
      <c r="H59" s="583"/>
      <c r="I59" s="583"/>
      <c r="J59" s="583" t="s">
        <v>194</v>
      </c>
      <c r="K59" s="583"/>
      <c r="L59" s="583"/>
      <c r="M59" s="583" t="s">
        <v>648</v>
      </c>
      <c r="N59" s="583"/>
      <c r="O59" s="583"/>
      <c r="Q59" s="407"/>
      <c r="R59" s="407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</row>
    <row r="60" spans="1:28" ht="20.100000000000001" customHeight="1">
      <c r="A60" s="583">
        <v>1</v>
      </c>
      <c r="B60" s="583"/>
      <c r="C60" s="583"/>
      <c r="D60" s="583">
        <v>2</v>
      </c>
      <c r="E60" s="583"/>
      <c r="F60" s="583"/>
      <c r="G60" s="583">
        <v>3</v>
      </c>
      <c r="H60" s="583"/>
      <c r="I60" s="583"/>
      <c r="J60" s="585">
        <v>4</v>
      </c>
      <c r="K60" s="585"/>
      <c r="L60" s="585"/>
      <c r="M60" s="585">
        <v>5</v>
      </c>
      <c r="N60" s="585"/>
      <c r="O60" s="585"/>
      <c r="Q60" s="407"/>
      <c r="R60" s="407"/>
      <c r="S60" s="407"/>
      <c r="T60" s="407"/>
      <c r="U60" s="407"/>
      <c r="V60" s="407"/>
      <c r="W60" s="407"/>
      <c r="X60" s="407"/>
      <c r="Y60" s="407"/>
      <c r="Z60" s="407"/>
      <c r="AA60" s="407"/>
      <c r="AB60" s="407"/>
    </row>
    <row r="61" spans="1:28" ht="30.75" customHeight="1">
      <c r="A61" s="641" t="s">
        <v>664</v>
      </c>
      <c r="B61" s="641"/>
      <c r="C61" s="641"/>
      <c r="D61" s="586">
        <f>D62+D63+D64+D65+D66</f>
        <v>5537</v>
      </c>
      <c r="E61" s="587"/>
      <c r="F61" s="588"/>
      <c r="G61" s="586">
        <f>G66</f>
        <v>0</v>
      </c>
      <c r="H61" s="587"/>
      <c r="I61" s="588"/>
      <c r="J61" s="586">
        <f>J62+J63+J64+J65+J66</f>
        <v>3249</v>
      </c>
      <c r="K61" s="587"/>
      <c r="L61" s="588"/>
      <c r="M61" s="586">
        <f>D61+G61-J61</f>
        <v>2288</v>
      </c>
      <c r="N61" s="587"/>
      <c r="O61" s="588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</row>
    <row r="62" spans="1:28" s="440" customFormat="1" ht="26.25" customHeight="1">
      <c r="A62" s="434" t="s">
        <v>451</v>
      </c>
      <c r="B62" s="435"/>
      <c r="C62" s="436"/>
      <c r="D62" s="573">
        <f>K53</f>
        <v>2555</v>
      </c>
      <c r="E62" s="574"/>
      <c r="F62" s="575"/>
      <c r="G62" s="437"/>
      <c r="H62" s="438"/>
      <c r="I62" s="439"/>
      <c r="J62" s="573">
        <v>1226</v>
      </c>
      <c r="K62" s="574"/>
      <c r="L62" s="575"/>
      <c r="M62" s="573">
        <f t="shared" ref="M62:M71" si="18">D62+G62-J62</f>
        <v>1329</v>
      </c>
      <c r="N62" s="574"/>
      <c r="O62" s="575"/>
      <c r="Q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  <c r="AB62" s="407"/>
    </row>
    <row r="63" spans="1:28" s="440" customFormat="1" ht="26.25" customHeight="1">
      <c r="A63" s="642" t="s">
        <v>444</v>
      </c>
      <c r="B63" s="643"/>
      <c r="C63" s="644"/>
      <c r="D63" s="573">
        <f>K52</f>
        <v>917</v>
      </c>
      <c r="E63" s="574"/>
      <c r="F63" s="575"/>
      <c r="G63" s="437"/>
      <c r="H63" s="438"/>
      <c r="I63" s="439"/>
      <c r="J63" s="573">
        <v>550</v>
      </c>
      <c r="K63" s="574"/>
      <c r="L63" s="575"/>
      <c r="M63" s="573">
        <f t="shared" si="18"/>
        <v>367</v>
      </c>
      <c r="N63" s="574"/>
      <c r="O63" s="575"/>
      <c r="Q63" s="407"/>
      <c r="R63" s="407"/>
      <c r="S63" s="407"/>
      <c r="T63" s="407"/>
      <c r="U63" s="407"/>
      <c r="V63" s="407"/>
      <c r="W63" s="407"/>
      <c r="X63" s="407"/>
      <c r="Y63" s="407"/>
      <c r="Z63" s="407"/>
      <c r="AA63" s="407"/>
      <c r="AB63" s="407"/>
    </row>
    <row r="64" spans="1:28" s="440" customFormat="1" ht="26.25" customHeight="1">
      <c r="A64" s="642" t="s">
        <v>457</v>
      </c>
      <c r="B64" s="643"/>
      <c r="C64" s="644"/>
      <c r="D64" s="573">
        <f>K49</f>
        <v>481</v>
      </c>
      <c r="E64" s="574"/>
      <c r="F64" s="575"/>
      <c r="G64" s="437"/>
      <c r="H64" s="438"/>
      <c r="I64" s="439"/>
      <c r="J64" s="573">
        <v>481</v>
      </c>
      <c r="K64" s="574"/>
      <c r="L64" s="575"/>
      <c r="M64" s="573">
        <f t="shared" si="18"/>
        <v>0</v>
      </c>
      <c r="N64" s="574"/>
      <c r="O64" s="575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407"/>
    </row>
    <row r="65" spans="1:28" s="440" customFormat="1" ht="26.25" customHeight="1">
      <c r="A65" s="642" t="s">
        <v>457</v>
      </c>
      <c r="B65" s="643"/>
      <c r="C65" s="644"/>
      <c r="D65" s="573">
        <f>K50</f>
        <v>609</v>
      </c>
      <c r="E65" s="574"/>
      <c r="F65" s="575"/>
      <c r="G65" s="437"/>
      <c r="H65" s="438"/>
      <c r="I65" s="439"/>
      <c r="J65" s="573">
        <v>609</v>
      </c>
      <c r="K65" s="574"/>
      <c r="L65" s="575"/>
      <c r="M65" s="573">
        <f t="shared" si="18"/>
        <v>0</v>
      </c>
      <c r="N65" s="574"/>
      <c r="O65" s="575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</row>
    <row r="66" spans="1:28" s="440" customFormat="1" ht="26.25" customHeight="1">
      <c r="A66" s="642" t="s">
        <v>457</v>
      </c>
      <c r="B66" s="643"/>
      <c r="C66" s="644"/>
      <c r="D66" s="573">
        <f>K51</f>
        <v>975</v>
      </c>
      <c r="E66" s="574"/>
      <c r="F66" s="575"/>
      <c r="G66" s="573"/>
      <c r="H66" s="574"/>
      <c r="I66" s="575"/>
      <c r="J66" s="573">
        <v>383</v>
      </c>
      <c r="K66" s="574"/>
      <c r="L66" s="575"/>
      <c r="M66" s="573">
        <f t="shared" si="18"/>
        <v>592</v>
      </c>
      <c r="N66" s="574"/>
      <c r="O66" s="575"/>
      <c r="Q66" s="407"/>
      <c r="R66" s="407"/>
      <c r="S66" s="407"/>
      <c r="T66" s="407"/>
      <c r="U66" s="407"/>
      <c r="V66" s="407"/>
      <c r="W66" s="407"/>
      <c r="X66" s="407"/>
      <c r="Y66" s="407"/>
      <c r="Z66" s="407"/>
      <c r="AA66" s="407"/>
      <c r="AB66" s="407"/>
    </row>
    <row r="67" spans="1:28" ht="28.5" customHeight="1">
      <c r="A67" s="635" t="s">
        <v>662</v>
      </c>
      <c r="B67" s="636"/>
      <c r="C67" s="637"/>
      <c r="D67" s="631">
        <f>D68</f>
        <v>800</v>
      </c>
      <c r="E67" s="631"/>
      <c r="F67" s="631"/>
      <c r="G67" s="631"/>
      <c r="H67" s="631"/>
      <c r="I67" s="631"/>
      <c r="J67" s="631">
        <f>J68</f>
        <v>800</v>
      </c>
      <c r="K67" s="631"/>
      <c r="L67" s="631"/>
      <c r="M67" s="586">
        <f t="shared" si="18"/>
        <v>0</v>
      </c>
      <c r="N67" s="587"/>
      <c r="O67" s="588"/>
      <c r="Q67" s="407"/>
      <c r="R67" s="407"/>
      <c r="S67" s="407"/>
      <c r="T67" s="407"/>
      <c r="U67" s="407"/>
      <c r="V67" s="407"/>
      <c r="W67" s="407"/>
      <c r="X67" s="407"/>
      <c r="Y67" s="407"/>
      <c r="Z67" s="407"/>
      <c r="AA67" s="407"/>
      <c r="AB67" s="407"/>
    </row>
    <row r="68" spans="1:28" s="440" customFormat="1" ht="26.25" customHeight="1">
      <c r="A68" s="638" t="s">
        <v>673</v>
      </c>
      <c r="B68" s="639"/>
      <c r="C68" s="640"/>
      <c r="D68" s="630">
        <f>K54</f>
        <v>800</v>
      </c>
      <c r="E68" s="630"/>
      <c r="F68" s="630"/>
      <c r="G68" s="630"/>
      <c r="H68" s="630"/>
      <c r="I68" s="630"/>
      <c r="J68" s="630">
        <v>800</v>
      </c>
      <c r="K68" s="630"/>
      <c r="L68" s="630"/>
      <c r="M68" s="573">
        <f t="shared" si="18"/>
        <v>0</v>
      </c>
      <c r="N68" s="574"/>
      <c r="O68" s="575"/>
      <c r="Q68" s="407"/>
      <c r="R68" s="407"/>
      <c r="S68" s="407"/>
      <c r="T68" s="407"/>
      <c r="U68" s="407"/>
      <c r="V68" s="407"/>
      <c r="W68" s="407"/>
      <c r="X68" s="407"/>
      <c r="Y68" s="407"/>
      <c r="Z68" s="407"/>
      <c r="AA68" s="407"/>
      <c r="AB68" s="407"/>
    </row>
    <row r="69" spans="1:28" ht="30" customHeight="1">
      <c r="A69" s="641" t="s">
        <v>663</v>
      </c>
      <c r="B69" s="641"/>
      <c r="C69" s="641"/>
      <c r="D69" s="631">
        <v>0</v>
      </c>
      <c r="E69" s="631"/>
      <c r="F69" s="631"/>
      <c r="G69" s="631"/>
      <c r="H69" s="631"/>
      <c r="I69" s="631"/>
      <c r="J69" s="631">
        <v>0</v>
      </c>
      <c r="K69" s="631"/>
      <c r="L69" s="631"/>
      <c r="M69" s="586">
        <f t="shared" si="18"/>
        <v>0</v>
      </c>
      <c r="N69" s="587"/>
      <c r="O69" s="588"/>
      <c r="Q69" s="407"/>
      <c r="R69" s="407"/>
      <c r="S69" s="407"/>
      <c r="T69" s="407"/>
      <c r="U69" s="407"/>
      <c r="V69" s="407"/>
      <c r="W69" s="407"/>
      <c r="X69" s="407"/>
      <c r="Y69" s="407"/>
      <c r="Z69" s="407"/>
      <c r="AA69" s="407"/>
      <c r="AB69" s="407"/>
    </row>
    <row r="70" spans="1:28" ht="23.25" customHeight="1">
      <c r="A70" s="641"/>
      <c r="B70" s="641"/>
      <c r="C70" s="641"/>
      <c r="D70" s="631"/>
      <c r="E70" s="631"/>
      <c r="F70" s="631"/>
      <c r="G70" s="631"/>
      <c r="H70" s="631"/>
      <c r="I70" s="631"/>
      <c r="J70" s="631"/>
      <c r="K70" s="631"/>
      <c r="L70" s="631"/>
      <c r="M70" s="586">
        <f t="shared" si="18"/>
        <v>0</v>
      </c>
      <c r="N70" s="587"/>
      <c r="O70" s="588"/>
      <c r="Q70" s="407"/>
      <c r="R70" s="407"/>
      <c r="S70" s="407"/>
      <c r="T70" s="407"/>
      <c r="U70" s="407"/>
      <c r="V70" s="407"/>
      <c r="W70" s="407"/>
      <c r="X70" s="407"/>
      <c r="Y70" s="407"/>
      <c r="Z70" s="407"/>
      <c r="AA70" s="407"/>
      <c r="AB70" s="407"/>
    </row>
    <row r="71" spans="1:28" ht="30" customHeight="1">
      <c r="A71" s="632" t="s">
        <v>49</v>
      </c>
      <c r="B71" s="633"/>
      <c r="C71" s="634"/>
      <c r="D71" s="629">
        <f>SUM(D61,D67,D69)</f>
        <v>6337</v>
      </c>
      <c r="E71" s="629"/>
      <c r="F71" s="629"/>
      <c r="G71" s="629">
        <f>SUM(G61,G67,G69)</f>
        <v>0</v>
      </c>
      <c r="H71" s="629"/>
      <c r="I71" s="629"/>
      <c r="J71" s="629">
        <f>SUM(J61,J67,J69)</f>
        <v>4049</v>
      </c>
      <c r="K71" s="629"/>
      <c r="L71" s="629"/>
      <c r="M71" s="629">
        <f t="shared" si="18"/>
        <v>2288</v>
      </c>
      <c r="N71" s="629"/>
      <c r="O71" s="629"/>
      <c r="Q71" s="407"/>
      <c r="R71" s="407"/>
      <c r="S71" s="407"/>
      <c r="T71" s="407"/>
      <c r="U71" s="407"/>
      <c r="V71" s="407"/>
      <c r="W71" s="407"/>
      <c r="X71" s="407"/>
      <c r="Y71" s="407"/>
      <c r="Z71" s="407"/>
      <c r="AA71" s="407"/>
      <c r="AB71" s="407"/>
    </row>
    <row r="72" spans="1:28" ht="20.100000000000001" customHeight="1">
      <c r="C72" s="442"/>
      <c r="D72" s="442"/>
      <c r="E72" s="442"/>
    </row>
    <row r="73" spans="1:28" ht="63.9" customHeight="1">
      <c r="C73" s="442"/>
      <c r="D73" s="442"/>
      <c r="E73" s="442"/>
    </row>
    <row r="74" spans="1:28" ht="18" customHeight="1">
      <c r="C74" s="442"/>
      <c r="D74" s="442"/>
      <c r="E74" s="442"/>
    </row>
    <row r="75" spans="1:28" ht="20.100000000000001" customHeight="1">
      <c r="C75" s="442"/>
      <c r="D75" s="442"/>
      <c r="E75" s="442"/>
    </row>
    <row r="76" spans="1:28" ht="20.100000000000001" customHeight="1">
      <c r="C76" s="442"/>
      <c r="D76" s="442"/>
      <c r="E76" s="442"/>
    </row>
    <row r="77" spans="1:28" ht="20.100000000000001" customHeight="1">
      <c r="C77" s="442"/>
      <c r="D77" s="442"/>
      <c r="E77" s="442"/>
    </row>
    <row r="78" spans="1:28" ht="20.100000000000001" customHeight="1">
      <c r="C78" s="442"/>
      <c r="D78" s="442"/>
      <c r="E78" s="442"/>
    </row>
    <row r="79" spans="1:28" ht="20.100000000000001" customHeight="1">
      <c r="C79" s="442"/>
      <c r="D79" s="442"/>
      <c r="E79" s="442"/>
    </row>
    <row r="80" spans="1:28" ht="20.100000000000001" customHeight="1">
      <c r="C80" s="442"/>
      <c r="D80" s="442"/>
      <c r="E80" s="442"/>
    </row>
    <row r="81" spans="3:5" ht="20.100000000000001" customHeight="1">
      <c r="C81" s="442"/>
      <c r="D81" s="442"/>
      <c r="E81" s="442"/>
    </row>
    <row r="82" spans="3:5" ht="20.100000000000001" customHeight="1">
      <c r="C82" s="442"/>
      <c r="D82" s="442"/>
      <c r="E82" s="442"/>
    </row>
    <row r="83" spans="3:5" ht="20.100000000000001" customHeight="1">
      <c r="C83" s="442"/>
      <c r="D83" s="442"/>
      <c r="E83" s="442"/>
    </row>
    <row r="84" spans="3:5" ht="20.100000000000001" customHeight="1">
      <c r="C84" s="442"/>
      <c r="D84" s="442"/>
      <c r="E84" s="442"/>
    </row>
    <row r="85" spans="3:5">
      <c r="C85" s="442"/>
      <c r="D85" s="442"/>
      <c r="E85" s="442"/>
    </row>
  </sheetData>
  <sheetProtection algorithmName="SHA-512" hashValue="lUMGSrgoG9EL8PRPh1K4BDzPPgiK1HtuX/G9K2v9njPOrV5kixD5a0EG2QnwCy2wCgsEmpi2Qa516oRqwEPLew==" saltValue="DNKhhNvpBdfnY1b3qci+5w==" spinCount="100000" sheet="1" objects="1" scenarios="1" selectLockedCells="1" selectUnlockedCells="1"/>
  <mergeCells count="256">
    <mergeCell ref="K51:L51"/>
    <mergeCell ref="L25:M25"/>
    <mergeCell ref="J25:K25"/>
    <mergeCell ref="A61:C61"/>
    <mergeCell ref="A60:C60"/>
    <mergeCell ref="B55:C55"/>
    <mergeCell ref="D55:E55"/>
    <mergeCell ref="F55:G55"/>
    <mergeCell ref="A57:O57"/>
    <mergeCell ref="A59:C59"/>
    <mergeCell ref="D59:F59"/>
    <mergeCell ref="D60:F60"/>
    <mergeCell ref="M60:O60"/>
    <mergeCell ref="M55:O55"/>
    <mergeCell ref="K47:L47"/>
    <mergeCell ref="F49:G49"/>
    <mergeCell ref="M50:O50"/>
    <mergeCell ref="H50:J50"/>
    <mergeCell ref="D50:E50"/>
    <mergeCell ref="F50:G50"/>
    <mergeCell ref="K50:L50"/>
    <mergeCell ref="M49:O49"/>
    <mergeCell ref="B49:C49"/>
    <mergeCell ref="D30:F30"/>
    <mergeCell ref="A66:C66"/>
    <mergeCell ref="H55:J55"/>
    <mergeCell ref="A64:C64"/>
    <mergeCell ref="A65:C65"/>
    <mergeCell ref="D62:F62"/>
    <mergeCell ref="A63:C63"/>
    <mergeCell ref="B54:C54"/>
    <mergeCell ref="M66:O66"/>
    <mergeCell ref="D66:F66"/>
    <mergeCell ref="G66:I66"/>
    <mergeCell ref="J66:L66"/>
    <mergeCell ref="J64:L64"/>
    <mergeCell ref="J65:L65"/>
    <mergeCell ref="D63:F63"/>
    <mergeCell ref="D64:F64"/>
    <mergeCell ref="D61:F61"/>
    <mergeCell ref="G59:I59"/>
    <mergeCell ref="J59:L59"/>
    <mergeCell ref="J63:L63"/>
    <mergeCell ref="K55:L55"/>
    <mergeCell ref="M65:O65"/>
    <mergeCell ref="M62:O62"/>
    <mergeCell ref="M63:O63"/>
    <mergeCell ref="M64:O64"/>
    <mergeCell ref="A71:C71"/>
    <mergeCell ref="D71:F71"/>
    <mergeCell ref="G71:I71"/>
    <mergeCell ref="J71:L71"/>
    <mergeCell ref="A67:C67"/>
    <mergeCell ref="A68:C68"/>
    <mergeCell ref="A70:C70"/>
    <mergeCell ref="A69:C69"/>
    <mergeCell ref="G69:I69"/>
    <mergeCell ref="B48:C48"/>
    <mergeCell ref="K48:L48"/>
    <mergeCell ref="B30:C30"/>
    <mergeCell ref="M47:O47"/>
    <mergeCell ref="M48:O48"/>
    <mergeCell ref="D47:E47"/>
    <mergeCell ref="F47:G47"/>
    <mergeCell ref="H47:J47"/>
    <mergeCell ref="M71:O71"/>
    <mergeCell ref="D68:F68"/>
    <mergeCell ref="G67:I67"/>
    <mergeCell ref="D67:F67"/>
    <mergeCell ref="J68:L68"/>
    <mergeCell ref="M68:O68"/>
    <mergeCell ref="J70:L70"/>
    <mergeCell ref="J69:L69"/>
    <mergeCell ref="M67:O67"/>
    <mergeCell ref="M70:O70"/>
    <mergeCell ref="M69:O69"/>
    <mergeCell ref="G68:I68"/>
    <mergeCell ref="J67:L67"/>
    <mergeCell ref="G70:I70"/>
    <mergeCell ref="D70:F70"/>
    <mergeCell ref="D69:F69"/>
    <mergeCell ref="L20:M20"/>
    <mergeCell ref="N20:O20"/>
    <mergeCell ref="A23:C23"/>
    <mergeCell ref="N21:O21"/>
    <mergeCell ref="H23:I23"/>
    <mergeCell ref="N22:O22"/>
    <mergeCell ref="J23:K23"/>
    <mergeCell ref="L23:M23"/>
    <mergeCell ref="N23:O23"/>
    <mergeCell ref="F22:G22"/>
    <mergeCell ref="D21:E21"/>
    <mergeCell ref="A22:C22"/>
    <mergeCell ref="B47:C47"/>
    <mergeCell ref="N25:O25"/>
    <mergeCell ref="J24:K24"/>
    <mergeCell ref="L24:M24"/>
    <mergeCell ref="N24:O24"/>
    <mergeCell ref="F24:G24"/>
    <mergeCell ref="H24:I24"/>
    <mergeCell ref="H25:I25"/>
    <mergeCell ref="L22:M22"/>
    <mergeCell ref="A14:C14"/>
    <mergeCell ref="H15:I15"/>
    <mergeCell ref="H14:I14"/>
    <mergeCell ref="D14:E14"/>
    <mergeCell ref="A15:C15"/>
    <mergeCell ref="A18:C18"/>
    <mergeCell ref="D22:E22"/>
    <mergeCell ref="L21:M21"/>
    <mergeCell ref="J21:K21"/>
    <mergeCell ref="L16:M16"/>
    <mergeCell ref="L17:M17"/>
    <mergeCell ref="F17:G17"/>
    <mergeCell ref="A19:C19"/>
    <mergeCell ref="J17:K17"/>
    <mergeCell ref="F18:G18"/>
    <mergeCell ref="H18:I18"/>
    <mergeCell ref="J18:K18"/>
    <mergeCell ref="A16:C16"/>
    <mergeCell ref="L19:M19"/>
    <mergeCell ref="A20:C20"/>
    <mergeCell ref="D20:E20"/>
    <mergeCell ref="F20:G20"/>
    <mergeCell ref="H20:I20"/>
    <mergeCell ref="J20:K20"/>
    <mergeCell ref="N10:O10"/>
    <mergeCell ref="L10:M10"/>
    <mergeCell ref="N12:O12"/>
    <mergeCell ref="N15:O15"/>
    <mergeCell ref="J11:K11"/>
    <mergeCell ref="L11:M11"/>
    <mergeCell ref="N11:O11"/>
    <mergeCell ref="J15:K15"/>
    <mergeCell ref="N14:O14"/>
    <mergeCell ref="L15:M15"/>
    <mergeCell ref="J14:K14"/>
    <mergeCell ref="N13:O13"/>
    <mergeCell ref="L12:M12"/>
    <mergeCell ref="J12:K12"/>
    <mergeCell ref="H10:I10"/>
    <mergeCell ref="L9:M9"/>
    <mergeCell ref="H11:I11"/>
    <mergeCell ref="F11:G11"/>
    <mergeCell ref="H13:I13"/>
    <mergeCell ref="N17:O17"/>
    <mergeCell ref="H17:I17"/>
    <mergeCell ref="D13:E13"/>
    <mergeCell ref="A12:C12"/>
    <mergeCell ref="J9:K9"/>
    <mergeCell ref="D9:E9"/>
    <mergeCell ref="F9:G9"/>
    <mergeCell ref="J10:K10"/>
    <mergeCell ref="F10:G10"/>
    <mergeCell ref="H9:I9"/>
    <mergeCell ref="D12:E12"/>
    <mergeCell ref="F12:G12"/>
    <mergeCell ref="H12:I12"/>
    <mergeCell ref="A11:C11"/>
    <mergeCell ref="D11:E11"/>
    <mergeCell ref="A13:C13"/>
    <mergeCell ref="A10:C10"/>
    <mergeCell ref="D16:E16"/>
    <mergeCell ref="N16:O16"/>
    <mergeCell ref="A17:C17"/>
    <mergeCell ref="D15:E15"/>
    <mergeCell ref="F15:G15"/>
    <mergeCell ref="D17:E17"/>
    <mergeCell ref="F16:G16"/>
    <mergeCell ref="A21:C21"/>
    <mergeCell ref="A24:C24"/>
    <mergeCell ref="A29:J29"/>
    <mergeCell ref="A2:O2"/>
    <mergeCell ref="A3:O3"/>
    <mergeCell ref="A4:O4"/>
    <mergeCell ref="D8:E8"/>
    <mergeCell ref="F8:G8"/>
    <mergeCell ref="A6:O6"/>
    <mergeCell ref="A8:C8"/>
    <mergeCell ref="A5:O5"/>
    <mergeCell ref="A7:O7"/>
    <mergeCell ref="J8:K8"/>
    <mergeCell ref="N8:O8"/>
    <mergeCell ref="H8:I8"/>
    <mergeCell ref="L8:M8"/>
    <mergeCell ref="N9:O9"/>
    <mergeCell ref="D10:E10"/>
    <mergeCell ref="A9:C9"/>
    <mergeCell ref="B53:C53"/>
    <mergeCell ref="B50:C50"/>
    <mergeCell ref="A25:C25"/>
    <mergeCell ref="D25:E25"/>
    <mergeCell ref="F21:G21"/>
    <mergeCell ref="H21:I21"/>
    <mergeCell ref="J22:K22"/>
    <mergeCell ref="D23:E23"/>
    <mergeCell ref="F23:G23"/>
    <mergeCell ref="A30:A31"/>
    <mergeCell ref="B51:C51"/>
    <mergeCell ref="H22:I22"/>
    <mergeCell ref="B52:C52"/>
    <mergeCell ref="F51:G51"/>
    <mergeCell ref="H51:J51"/>
    <mergeCell ref="D24:E24"/>
    <mergeCell ref="D52:E52"/>
    <mergeCell ref="A26:O26"/>
    <mergeCell ref="D49:E49"/>
    <mergeCell ref="H49:J49"/>
    <mergeCell ref="K49:L49"/>
    <mergeCell ref="F52:G52"/>
    <mergeCell ref="H52:J52"/>
    <mergeCell ref="M51:O51"/>
    <mergeCell ref="D51:E51"/>
    <mergeCell ref="F13:G13"/>
    <mergeCell ref="J13:K13"/>
    <mergeCell ref="F19:G19"/>
    <mergeCell ref="F25:G25"/>
    <mergeCell ref="D18:E18"/>
    <mergeCell ref="L18:M18"/>
    <mergeCell ref="N18:O18"/>
    <mergeCell ref="L14:M14"/>
    <mergeCell ref="L13:M13"/>
    <mergeCell ref="N19:O19"/>
    <mergeCell ref="H19:I19"/>
    <mergeCell ref="J19:K19"/>
    <mergeCell ref="D19:E19"/>
    <mergeCell ref="D48:E48"/>
    <mergeCell ref="G30:I30"/>
    <mergeCell ref="J30:L30"/>
    <mergeCell ref="M30:O30"/>
    <mergeCell ref="F48:G48"/>
    <mergeCell ref="H48:J48"/>
    <mergeCell ref="F14:G14"/>
    <mergeCell ref="J16:K16"/>
    <mergeCell ref="H16:I16"/>
    <mergeCell ref="A46:O46"/>
    <mergeCell ref="K52:L52"/>
    <mergeCell ref="M52:O52"/>
    <mergeCell ref="J60:L60"/>
    <mergeCell ref="G61:I61"/>
    <mergeCell ref="M53:O53"/>
    <mergeCell ref="J61:L61"/>
    <mergeCell ref="M61:O61"/>
    <mergeCell ref="G60:I60"/>
    <mergeCell ref="M54:O54"/>
    <mergeCell ref="F54:G54"/>
    <mergeCell ref="H54:J54"/>
    <mergeCell ref="D65:F65"/>
    <mergeCell ref="J62:L62"/>
    <mergeCell ref="K54:L54"/>
    <mergeCell ref="D54:E54"/>
    <mergeCell ref="H53:J53"/>
    <mergeCell ref="D53:E53"/>
    <mergeCell ref="F53:G53"/>
    <mergeCell ref="K53:L53"/>
    <mergeCell ref="M59:O59"/>
  </mergeCells>
  <phoneticPr fontId="3" type="noConversion"/>
  <pageMargins left="0.59055118110236227" right="0.59055118110236227" top="0.98425196850393704" bottom="0.59055118110236227" header="0.15748031496062992" footer="0.15748031496062992"/>
  <pageSetup paperSize="9" scale="53" orientation="landscape" r:id="rId1"/>
  <headerFooter alignWithMargins="0"/>
  <ignoredErrors>
    <ignoredError sqref="L23:M25 D23:D25 L12:M12 L22:M22 O10 M10 N11:N13 O11:O25 L15:M21 M13 M14 N15:N25 M11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58"/>
  <sheetViews>
    <sheetView view="pageBreakPreview" topLeftCell="A6" zoomScale="43" zoomScaleNormal="60" zoomScaleSheetLayoutView="43" workbookViewId="0">
      <selection activeCell="A25" sqref="A25:XFD31"/>
    </sheetView>
  </sheetViews>
  <sheetFormatPr defaultColWidth="9.109375" defaultRowHeight="21"/>
  <cols>
    <col min="1" max="1" width="8.33203125" style="21" customWidth="1"/>
    <col min="2" max="2" width="26.109375" style="21" customWidth="1"/>
    <col min="3" max="5" width="11.33203125" style="21" customWidth="1"/>
    <col min="6" max="6" width="7" style="21" customWidth="1"/>
    <col min="7" max="7" width="15.33203125" style="21" customWidth="1"/>
    <col min="8" max="10" width="11" style="21" customWidth="1"/>
    <col min="11" max="11" width="11.6640625" style="21" customWidth="1"/>
    <col min="12" max="12" width="13.109375" style="21" bestFit="1" customWidth="1"/>
    <col min="13" max="13" width="8.6640625" style="21" customWidth="1"/>
    <col min="14" max="14" width="13.109375" style="21" bestFit="1" customWidth="1"/>
    <col min="15" max="16" width="11" style="21" customWidth="1"/>
    <col min="17" max="17" width="14.88671875" style="21" customWidth="1"/>
    <col min="18" max="26" width="11" style="21" customWidth="1"/>
    <col min="27" max="27" width="16.6640625" style="21" bestFit="1" customWidth="1"/>
    <col min="28" max="28" width="11.33203125" style="21" customWidth="1"/>
    <col min="29" max="29" width="16.6640625" style="21" bestFit="1" customWidth="1"/>
    <col min="30" max="31" width="12" style="21" customWidth="1"/>
    <col min="32" max="16384" width="9.109375" style="21"/>
  </cols>
  <sheetData>
    <row r="1" spans="1:31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Q1" s="37"/>
      <c r="R1" s="37"/>
      <c r="S1" s="37"/>
      <c r="T1" s="37"/>
      <c r="U1" s="37"/>
      <c r="AB1" s="684" t="s">
        <v>348</v>
      </c>
      <c r="AC1" s="685"/>
      <c r="AD1" s="685"/>
      <c r="AE1" s="685"/>
    </row>
    <row r="2" spans="1:31" ht="18.75" customHeight="1">
      <c r="B2" s="38" t="s">
        <v>343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</row>
    <row r="3" spans="1:3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690" t="s">
        <v>361</v>
      </c>
      <c r="AE3" s="691"/>
    </row>
    <row r="4" spans="1:31" ht="37.5" customHeight="1">
      <c r="A4" s="546" t="s">
        <v>46</v>
      </c>
      <c r="B4" s="546" t="s">
        <v>132</v>
      </c>
      <c r="C4" s="695" t="s">
        <v>133</v>
      </c>
      <c r="D4" s="696"/>
      <c r="E4" s="696"/>
      <c r="F4" s="697"/>
      <c r="G4" s="695" t="s">
        <v>191</v>
      </c>
      <c r="H4" s="696"/>
      <c r="I4" s="696"/>
      <c r="J4" s="696"/>
      <c r="K4" s="696"/>
      <c r="L4" s="696"/>
      <c r="M4" s="697"/>
      <c r="N4" s="662" t="s">
        <v>134</v>
      </c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4"/>
      <c r="Z4" s="695" t="s">
        <v>652</v>
      </c>
      <c r="AA4" s="696"/>
      <c r="AB4" s="697"/>
      <c r="AC4" s="653" t="s">
        <v>653</v>
      </c>
      <c r="AD4" s="654"/>
      <c r="AE4" s="655"/>
    </row>
    <row r="5" spans="1:31" ht="1.5" hidden="1" customHeight="1">
      <c r="A5" s="694"/>
      <c r="B5" s="694"/>
      <c r="C5" s="698"/>
      <c r="D5" s="699"/>
      <c r="E5" s="699"/>
      <c r="F5" s="700"/>
      <c r="G5" s="698"/>
      <c r="H5" s="699"/>
      <c r="I5" s="699"/>
      <c r="J5" s="699"/>
      <c r="K5" s="699"/>
      <c r="L5" s="699"/>
      <c r="M5" s="700"/>
      <c r="N5" s="236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5"/>
      <c r="Z5" s="699"/>
      <c r="AA5" s="699"/>
      <c r="AB5" s="700"/>
      <c r="AC5" s="656"/>
      <c r="AD5" s="657"/>
      <c r="AE5" s="658"/>
    </row>
    <row r="6" spans="1:31" ht="48" customHeight="1">
      <c r="A6" s="547"/>
      <c r="B6" s="547"/>
      <c r="C6" s="701"/>
      <c r="D6" s="702"/>
      <c r="E6" s="702"/>
      <c r="F6" s="703"/>
      <c r="G6" s="701"/>
      <c r="H6" s="702"/>
      <c r="I6" s="702"/>
      <c r="J6" s="702"/>
      <c r="K6" s="702"/>
      <c r="L6" s="702"/>
      <c r="M6" s="703"/>
      <c r="N6" s="662" t="s">
        <v>649</v>
      </c>
      <c r="O6" s="663"/>
      <c r="P6" s="663"/>
      <c r="Q6" s="664"/>
      <c r="R6" s="662" t="s">
        <v>650</v>
      </c>
      <c r="S6" s="663"/>
      <c r="T6" s="663"/>
      <c r="U6" s="664"/>
      <c r="V6" s="662" t="s">
        <v>651</v>
      </c>
      <c r="W6" s="663"/>
      <c r="X6" s="663"/>
      <c r="Y6" s="664"/>
      <c r="Z6" s="702"/>
      <c r="AA6" s="702"/>
      <c r="AB6" s="703"/>
      <c r="AC6" s="659"/>
      <c r="AD6" s="660"/>
      <c r="AE6" s="661"/>
    </row>
    <row r="7" spans="1:31" ht="27" customHeight="1">
      <c r="A7" s="202">
        <v>1</v>
      </c>
      <c r="B7" s="40">
        <v>2</v>
      </c>
      <c r="C7" s="662">
        <v>3</v>
      </c>
      <c r="D7" s="663"/>
      <c r="E7" s="663"/>
      <c r="F7" s="664"/>
      <c r="G7" s="662">
        <v>4</v>
      </c>
      <c r="H7" s="663"/>
      <c r="I7" s="663"/>
      <c r="J7" s="663"/>
      <c r="K7" s="663"/>
      <c r="L7" s="663"/>
      <c r="M7" s="664"/>
      <c r="N7" s="720">
        <v>5</v>
      </c>
      <c r="O7" s="721"/>
      <c r="P7" s="721"/>
      <c r="Q7" s="722"/>
      <c r="R7" s="720">
        <v>6</v>
      </c>
      <c r="S7" s="721"/>
      <c r="T7" s="721"/>
      <c r="U7" s="722"/>
      <c r="V7" s="720">
        <v>7</v>
      </c>
      <c r="W7" s="721"/>
      <c r="X7" s="721"/>
      <c r="Y7" s="722"/>
      <c r="Z7" s="721">
        <v>8</v>
      </c>
      <c r="AA7" s="721"/>
      <c r="AB7" s="722"/>
      <c r="AC7" s="720">
        <v>9</v>
      </c>
      <c r="AD7" s="721"/>
      <c r="AE7" s="722"/>
    </row>
    <row r="8" spans="1:31" ht="22.5" customHeight="1">
      <c r="A8" s="202"/>
      <c r="B8" s="40"/>
      <c r="C8" s="662"/>
      <c r="D8" s="663"/>
      <c r="E8" s="663"/>
      <c r="F8" s="664"/>
      <c r="G8" s="725"/>
      <c r="H8" s="726"/>
      <c r="I8" s="726"/>
      <c r="J8" s="726"/>
      <c r="K8" s="726"/>
      <c r="L8" s="726"/>
      <c r="M8" s="727"/>
      <c r="N8" s="692"/>
      <c r="O8" s="728"/>
      <c r="P8" s="728"/>
      <c r="Q8" s="693"/>
      <c r="R8" s="692"/>
      <c r="S8" s="728"/>
      <c r="T8" s="728"/>
      <c r="U8" s="693"/>
      <c r="V8" s="692"/>
      <c r="W8" s="728"/>
      <c r="X8" s="728"/>
      <c r="Y8" s="693"/>
      <c r="Z8" s="651"/>
      <c r="AA8" s="651"/>
      <c r="AB8" s="652"/>
      <c r="AC8" s="738"/>
      <c r="AD8" s="651"/>
      <c r="AE8" s="652"/>
    </row>
    <row r="9" spans="1:31" s="212" customFormat="1" ht="29.25" customHeight="1">
      <c r="A9" s="711" t="s">
        <v>49</v>
      </c>
      <c r="B9" s="712"/>
      <c r="C9" s="729"/>
      <c r="D9" s="730"/>
      <c r="E9" s="730"/>
      <c r="F9" s="731"/>
      <c r="G9" s="732"/>
      <c r="H9" s="733"/>
      <c r="I9" s="733"/>
      <c r="J9" s="733"/>
      <c r="K9" s="733"/>
      <c r="L9" s="733"/>
      <c r="M9" s="734"/>
      <c r="N9" s="687">
        <f>SUM(N8:N8)</f>
        <v>0</v>
      </c>
      <c r="O9" s="688"/>
      <c r="P9" s="688"/>
      <c r="Q9" s="689"/>
      <c r="R9" s="687">
        <f>SUM(R8:R8)</f>
        <v>0</v>
      </c>
      <c r="S9" s="688"/>
      <c r="T9" s="688"/>
      <c r="U9" s="689"/>
      <c r="V9" s="687">
        <f>SUM(V8:V8)</f>
        <v>0</v>
      </c>
      <c r="W9" s="688"/>
      <c r="X9" s="688"/>
      <c r="Y9" s="689"/>
      <c r="Z9" s="735"/>
      <c r="AA9" s="735"/>
      <c r="AB9" s="736"/>
      <c r="AC9" s="737"/>
      <c r="AD9" s="735"/>
      <c r="AE9" s="736"/>
    </row>
    <row r="10" spans="1:31" ht="18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1"/>
      <c r="N10" s="31"/>
      <c r="O10" s="31"/>
      <c r="P10" s="31"/>
      <c r="Q10" s="41"/>
      <c r="R10" s="41"/>
      <c r="S10" s="41"/>
      <c r="T10" s="41"/>
      <c r="U10" s="41"/>
      <c r="V10" s="41"/>
      <c r="W10" s="42"/>
      <c r="X10" s="42"/>
      <c r="Y10" s="42"/>
      <c r="Z10" s="42"/>
      <c r="AA10" s="42"/>
      <c r="AB10" s="42"/>
      <c r="AC10" s="42"/>
      <c r="AD10" s="42"/>
      <c r="AE10" s="42"/>
    </row>
    <row r="11" spans="1:31" s="38" customFormat="1" ht="18.75" customHeight="1">
      <c r="B11" s="38" t="s">
        <v>344</v>
      </c>
    </row>
    <row r="12" spans="1:31" s="38" customFormat="1" ht="18.75" customHeight="1">
      <c r="AD12" s="197" t="s">
        <v>361</v>
      </c>
    </row>
    <row r="13" spans="1:31" s="29" customFormat="1" ht="30.75" customHeight="1">
      <c r="A13" s="708" t="s">
        <v>46</v>
      </c>
      <c r="B13" s="708" t="s">
        <v>135</v>
      </c>
      <c r="C13" s="545" t="s">
        <v>132</v>
      </c>
      <c r="D13" s="545"/>
      <c r="E13" s="545"/>
      <c r="F13" s="545"/>
      <c r="G13" s="695" t="s">
        <v>191</v>
      </c>
      <c r="H13" s="696"/>
      <c r="I13" s="696"/>
      <c r="J13" s="696"/>
      <c r="K13" s="696"/>
      <c r="L13" s="696"/>
      <c r="M13" s="697"/>
      <c r="N13" s="695" t="s">
        <v>136</v>
      </c>
      <c r="O13" s="696"/>
      <c r="P13" s="697"/>
      <c r="Q13" s="695" t="s">
        <v>134</v>
      </c>
      <c r="R13" s="696"/>
      <c r="S13" s="696"/>
      <c r="T13" s="696"/>
      <c r="U13" s="696"/>
      <c r="V13" s="696"/>
      <c r="W13" s="696"/>
      <c r="X13" s="696"/>
      <c r="Y13" s="697"/>
      <c r="Z13" s="653" t="s">
        <v>652</v>
      </c>
      <c r="AA13" s="654"/>
      <c r="AB13" s="655"/>
      <c r="AC13" s="653" t="s">
        <v>653</v>
      </c>
      <c r="AD13" s="654"/>
      <c r="AE13" s="655"/>
    </row>
    <row r="14" spans="1:31" s="29" customFormat="1" ht="6.75" customHeight="1">
      <c r="A14" s="708"/>
      <c r="B14" s="708"/>
      <c r="C14" s="545"/>
      <c r="D14" s="545"/>
      <c r="E14" s="545"/>
      <c r="F14" s="545"/>
      <c r="G14" s="698"/>
      <c r="H14" s="699"/>
      <c r="I14" s="699"/>
      <c r="J14" s="699"/>
      <c r="K14" s="699"/>
      <c r="L14" s="699"/>
      <c r="M14" s="700"/>
      <c r="N14" s="698"/>
      <c r="O14" s="699"/>
      <c r="P14" s="700"/>
      <c r="Q14" s="545" t="s">
        <v>649</v>
      </c>
      <c r="R14" s="545"/>
      <c r="S14" s="545"/>
      <c r="T14" s="545" t="s">
        <v>650</v>
      </c>
      <c r="U14" s="545"/>
      <c r="V14" s="545"/>
      <c r="W14" s="545" t="s">
        <v>667</v>
      </c>
      <c r="X14" s="545"/>
      <c r="Y14" s="545"/>
      <c r="Z14" s="656"/>
      <c r="AA14" s="657"/>
      <c r="AB14" s="658"/>
      <c r="AC14" s="656"/>
      <c r="AD14" s="657"/>
      <c r="AE14" s="658"/>
    </row>
    <row r="15" spans="1:31" s="29" customFormat="1" ht="38.25" customHeight="1">
      <c r="A15" s="708"/>
      <c r="B15" s="708"/>
      <c r="C15" s="545"/>
      <c r="D15" s="545"/>
      <c r="E15" s="545"/>
      <c r="F15" s="545"/>
      <c r="G15" s="701"/>
      <c r="H15" s="702"/>
      <c r="I15" s="702"/>
      <c r="J15" s="702"/>
      <c r="K15" s="702"/>
      <c r="L15" s="702"/>
      <c r="M15" s="703"/>
      <c r="N15" s="701"/>
      <c r="O15" s="702"/>
      <c r="P15" s="703"/>
      <c r="Q15" s="545"/>
      <c r="R15" s="545"/>
      <c r="S15" s="545"/>
      <c r="T15" s="545"/>
      <c r="U15" s="545"/>
      <c r="V15" s="545"/>
      <c r="W15" s="545"/>
      <c r="X15" s="545"/>
      <c r="Y15" s="545"/>
      <c r="Z15" s="659"/>
      <c r="AA15" s="660"/>
      <c r="AB15" s="661"/>
      <c r="AC15" s="659"/>
      <c r="AD15" s="660"/>
      <c r="AE15" s="661"/>
    </row>
    <row r="16" spans="1:31" s="29" customFormat="1" ht="25.95" customHeight="1">
      <c r="A16" s="241">
        <v>1</v>
      </c>
      <c r="B16" s="241">
        <v>2</v>
      </c>
      <c r="C16" s="662">
        <v>3</v>
      </c>
      <c r="D16" s="663"/>
      <c r="E16" s="663"/>
      <c r="F16" s="664"/>
      <c r="G16" s="662">
        <v>4</v>
      </c>
      <c r="H16" s="663"/>
      <c r="I16" s="663"/>
      <c r="J16" s="663"/>
      <c r="K16" s="663"/>
      <c r="L16" s="663"/>
      <c r="M16" s="664"/>
      <c r="N16" s="662">
        <v>5</v>
      </c>
      <c r="O16" s="663"/>
      <c r="P16" s="664"/>
      <c r="Q16" s="662">
        <v>6</v>
      </c>
      <c r="R16" s="663"/>
      <c r="S16" s="664"/>
      <c r="T16" s="662">
        <v>7</v>
      </c>
      <c r="U16" s="663"/>
      <c r="V16" s="664"/>
      <c r="W16" s="662">
        <v>8</v>
      </c>
      <c r="X16" s="663"/>
      <c r="Y16" s="664"/>
      <c r="Z16" s="662">
        <v>9</v>
      </c>
      <c r="AA16" s="663"/>
      <c r="AB16" s="664"/>
      <c r="AC16" s="662">
        <v>10</v>
      </c>
      <c r="AD16" s="663"/>
      <c r="AE16" s="664"/>
    </row>
    <row r="17" spans="1:31" s="29" customFormat="1" ht="24" customHeight="1">
      <c r="A17" s="43"/>
      <c r="B17" s="44"/>
      <c r="C17" s="668"/>
      <c r="D17" s="668"/>
      <c r="E17" s="668"/>
      <c r="F17" s="668"/>
      <c r="G17" s="725"/>
      <c r="H17" s="726"/>
      <c r="I17" s="726"/>
      <c r="J17" s="726"/>
      <c r="K17" s="726"/>
      <c r="L17" s="726"/>
      <c r="M17" s="727"/>
      <c r="N17" s="665"/>
      <c r="O17" s="666"/>
      <c r="P17" s="667"/>
      <c r="Q17" s="669"/>
      <c r="R17" s="670"/>
      <c r="S17" s="671"/>
      <c r="T17" s="669"/>
      <c r="U17" s="670"/>
      <c r="V17" s="671"/>
      <c r="W17" s="669"/>
      <c r="X17" s="670"/>
      <c r="Y17" s="671"/>
      <c r="Z17" s="651"/>
      <c r="AA17" s="651"/>
      <c r="AB17" s="652"/>
      <c r="AC17" s="651"/>
      <c r="AD17" s="651"/>
      <c r="AE17" s="652"/>
    </row>
    <row r="18" spans="1:31" s="29" customFormat="1" ht="30" customHeight="1">
      <c r="A18" s="709" t="s">
        <v>49</v>
      </c>
      <c r="B18" s="710"/>
      <c r="C18" s="668"/>
      <c r="D18" s="668"/>
      <c r="E18" s="668"/>
      <c r="F18" s="668"/>
      <c r="G18" s="725"/>
      <c r="H18" s="726"/>
      <c r="I18" s="726"/>
      <c r="J18" s="726"/>
      <c r="K18" s="726"/>
      <c r="L18" s="726"/>
      <c r="M18" s="727"/>
      <c r="N18" s="665"/>
      <c r="O18" s="666"/>
      <c r="P18" s="667"/>
      <c r="Q18" s="669">
        <f>SUM(Q17:Q17)</f>
        <v>0</v>
      </c>
      <c r="R18" s="670"/>
      <c r="S18" s="671"/>
      <c r="T18" s="669">
        <f>SUM(T17:T17)</f>
        <v>0</v>
      </c>
      <c r="U18" s="670"/>
      <c r="V18" s="671"/>
      <c r="W18" s="669">
        <f>SUM(W17:W17)</f>
        <v>0</v>
      </c>
      <c r="X18" s="670"/>
      <c r="Y18" s="671"/>
      <c r="Z18" s="651"/>
      <c r="AA18" s="651"/>
      <c r="AB18" s="652"/>
      <c r="AC18" s="651"/>
      <c r="AD18" s="651"/>
      <c r="AE18" s="652"/>
    </row>
    <row r="19" spans="1:3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Q19" s="37"/>
      <c r="R19" s="37"/>
      <c r="S19" s="37"/>
      <c r="T19" s="37"/>
      <c r="U19" s="37"/>
      <c r="AE19" s="37"/>
    </row>
    <row r="20" spans="1:31" s="38" customFormat="1" ht="18.75" customHeight="1">
      <c r="B20" s="38" t="s">
        <v>345</v>
      </c>
    </row>
    <row r="21" spans="1:31">
      <c r="A21" s="23"/>
      <c r="B21" s="23"/>
      <c r="C21" s="23"/>
      <c r="D21" s="23"/>
      <c r="E21" s="23"/>
      <c r="F21" s="23"/>
      <c r="G21" s="23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3"/>
      <c r="AE21" s="37" t="s">
        <v>316</v>
      </c>
    </row>
    <row r="22" spans="1:31" ht="39" customHeight="1">
      <c r="A22" s="545" t="s">
        <v>46</v>
      </c>
      <c r="B22" s="545" t="s">
        <v>155</v>
      </c>
      <c r="C22" s="545"/>
      <c r="D22" s="545"/>
      <c r="E22" s="545"/>
      <c r="F22" s="545"/>
      <c r="G22" s="545" t="s">
        <v>48</v>
      </c>
      <c r="H22" s="545"/>
      <c r="I22" s="545"/>
      <c r="J22" s="545"/>
      <c r="K22" s="545"/>
      <c r="L22" s="545" t="s">
        <v>76</v>
      </c>
      <c r="M22" s="545"/>
      <c r="N22" s="545"/>
      <c r="O22" s="545"/>
      <c r="P22" s="545"/>
      <c r="Q22" s="545" t="s">
        <v>176</v>
      </c>
      <c r="R22" s="545"/>
      <c r="S22" s="545"/>
      <c r="T22" s="545"/>
      <c r="U22" s="545"/>
      <c r="V22" s="545" t="s">
        <v>96</v>
      </c>
      <c r="W22" s="545"/>
      <c r="X22" s="545"/>
      <c r="Y22" s="545"/>
      <c r="Z22" s="545"/>
      <c r="AA22" s="545" t="s">
        <v>49</v>
      </c>
      <c r="AB22" s="545"/>
      <c r="AC22" s="545"/>
      <c r="AD22" s="545"/>
      <c r="AE22" s="545"/>
    </row>
    <row r="23" spans="1:31" ht="36" customHeight="1">
      <c r="A23" s="545"/>
      <c r="B23" s="545"/>
      <c r="C23" s="545"/>
      <c r="D23" s="545"/>
      <c r="E23" s="545"/>
      <c r="F23" s="545"/>
      <c r="G23" s="545" t="s">
        <v>71</v>
      </c>
      <c r="H23" s="545" t="s">
        <v>77</v>
      </c>
      <c r="I23" s="545"/>
      <c r="J23" s="545"/>
      <c r="K23" s="545"/>
      <c r="L23" s="545" t="s">
        <v>71</v>
      </c>
      <c r="M23" s="545" t="s">
        <v>77</v>
      </c>
      <c r="N23" s="545"/>
      <c r="O23" s="545"/>
      <c r="P23" s="545"/>
      <c r="Q23" s="545" t="s">
        <v>71</v>
      </c>
      <c r="R23" s="545" t="s">
        <v>77</v>
      </c>
      <c r="S23" s="545"/>
      <c r="T23" s="545"/>
      <c r="U23" s="545"/>
      <c r="V23" s="545" t="s">
        <v>71</v>
      </c>
      <c r="W23" s="545" t="s">
        <v>77</v>
      </c>
      <c r="X23" s="545"/>
      <c r="Y23" s="545"/>
      <c r="Z23" s="545"/>
      <c r="AA23" s="545" t="s">
        <v>71</v>
      </c>
      <c r="AB23" s="545" t="s">
        <v>77</v>
      </c>
      <c r="AC23" s="545"/>
      <c r="AD23" s="545"/>
      <c r="AE23" s="545"/>
    </row>
    <row r="24" spans="1:31" ht="44.25" customHeight="1">
      <c r="A24" s="545"/>
      <c r="B24" s="545"/>
      <c r="C24" s="545"/>
      <c r="D24" s="545"/>
      <c r="E24" s="545"/>
      <c r="F24" s="545"/>
      <c r="G24" s="545"/>
      <c r="H24" s="201" t="s">
        <v>65</v>
      </c>
      <c r="I24" s="201" t="s">
        <v>66</v>
      </c>
      <c r="J24" s="201" t="s">
        <v>64</v>
      </c>
      <c r="K24" s="201" t="s">
        <v>63</v>
      </c>
      <c r="L24" s="545"/>
      <c r="M24" s="201" t="s">
        <v>65</v>
      </c>
      <c r="N24" s="201" t="s">
        <v>66</v>
      </c>
      <c r="O24" s="201" t="s">
        <v>64</v>
      </c>
      <c r="P24" s="201" t="s">
        <v>63</v>
      </c>
      <c r="Q24" s="545"/>
      <c r="R24" s="201" t="s">
        <v>65</v>
      </c>
      <c r="S24" s="201" t="s">
        <v>66</v>
      </c>
      <c r="T24" s="201" t="s">
        <v>64</v>
      </c>
      <c r="U24" s="201" t="s">
        <v>63</v>
      </c>
      <c r="V24" s="545"/>
      <c r="W24" s="201" t="s">
        <v>65</v>
      </c>
      <c r="X24" s="201" t="s">
        <v>66</v>
      </c>
      <c r="Y24" s="201" t="s">
        <v>64</v>
      </c>
      <c r="Z24" s="201" t="s">
        <v>63</v>
      </c>
      <c r="AA24" s="545"/>
      <c r="AB24" s="201" t="s">
        <v>65</v>
      </c>
      <c r="AC24" s="201" t="s">
        <v>66</v>
      </c>
      <c r="AD24" s="201" t="s">
        <v>64</v>
      </c>
      <c r="AE24" s="201" t="s">
        <v>63</v>
      </c>
    </row>
    <row r="25" spans="1:31" s="29" customFormat="1" ht="30" customHeight="1">
      <c r="A25" s="250">
        <v>1</v>
      </c>
      <c r="B25" s="492">
        <v>2</v>
      </c>
      <c r="C25" s="492"/>
      <c r="D25" s="492"/>
      <c r="E25" s="492"/>
      <c r="F25" s="492"/>
      <c r="G25" s="250">
        <v>3</v>
      </c>
      <c r="H25" s="250">
        <v>4</v>
      </c>
      <c r="I25" s="250">
        <v>5</v>
      </c>
      <c r="J25" s="250">
        <v>6</v>
      </c>
      <c r="K25" s="250">
        <v>7</v>
      </c>
      <c r="L25" s="250">
        <v>8</v>
      </c>
      <c r="M25" s="250">
        <v>9</v>
      </c>
      <c r="N25" s="250">
        <v>10</v>
      </c>
      <c r="O25" s="250">
        <v>11</v>
      </c>
      <c r="P25" s="250">
        <v>12</v>
      </c>
      <c r="Q25" s="250">
        <v>13</v>
      </c>
      <c r="R25" s="250">
        <v>14</v>
      </c>
      <c r="S25" s="250">
        <v>15</v>
      </c>
      <c r="T25" s="250">
        <v>16</v>
      </c>
      <c r="U25" s="250">
        <v>17</v>
      </c>
      <c r="V25" s="249">
        <v>18</v>
      </c>
      <c r="W25" s="249">
        <v>19</v>
      </c>
      <c r="X25" s="249">
        <v>20</v>
      </c>
      <c r="Y25" s="249">
        <v>21</v>
      </c>
      <c r="Z25" s="249">
        <v>22</v>
      </c>
      <c r="AA25" s="249">
        <v>23</v>
      </c>
      <c r="AB25" s="249">
        <v>24</v>
      </c>
      <c r="AC25" s="249">
        <v>25</v>
      </c>
      <c r="AD25" s="249">
        <v>26</v>
      </c>
      <c r="AE25" s="249">
        <v>27</v>
      </c>
    </row>
    <row r="26" spans="1:31" s="465" customFormat="1" ht="43.5" customHeight="1">
      <c r="A26" s="297">
        <v>1</v>
      </c>
      <c r="B26" s="717" t="s">
        <v>568</v>
      </c>
      <c r="C26" s="718"/>
      <c r="D26" s="718"/>
      <c r="E26" s="718"/>
      <c r="F26" s="719"/>
      <c r="G26" s="463">
        <f>SUM(H26:K26)</f>
        <v>0</v>
      </c>
      <c r="H26" s="463">
        <f>SUM(H27)</f>
        <v>0</v>
      </c>
      <c r="I26" s="463">
        <f t="shared" ref="I26" si="0">SUM(I27)</f>
        <v>0</v>
      </c>
      <c r="J26" s="463">
        <f t="shared" ref="J26" si="1">SUM(J27)</f>
        <v>0</v>
      </c>
      <c r="K26" s="463">
        <f t="shared" ref="K26" si="2">SUM(K27)</f>
        <v>0</v>
      </c>
      <c r="L26" s="464">
        <f>SUM(M26:P26)</f>
        <v>19747</v>
      </c>
      <c r="M26" s="464">
        <f>SUM(M27)</f>
        <v>0</v>
      </c>
      <c r="N26" s="464">
        <f t="shared" ref="N26:P26" si="3">SUM(N27)</f>
        <v>19747</v>
      </c>
      <c r="O26" s="464">
        <f t="shared" si="3"/>
        <v>0</v>
      </c>
      <c r="P26" s="464">
        <f t="shared" si="3"/>
        <v>0</v>
      </c>
      <c r="Q26" s="464">
        <f t="shared" ref="Q26" si="4">SUM(R26:U26)</f>
        <v>0</v>
      </c>
      <c r="R26" s="464">
        <f t="shared" ref="R26" si="5">SUM(R27)</f>
        <v>0</v>
      </c>
      <c r="S26" s="464">
        <f t="shared" ref="S26" si="6">SUM(S27)</f>
        <v>0</v>
      </c>
      <c r="T26" s="464">
        <f t="shared" ref="T26" si="7">SUM(T27)</f>
        <v>0</v>
      </c>
      <c r="U26" s="464">
        <f t="shared" ref="U26" si="8">SUM(U27)</f>
        <v>0</v>
      </c>
      <c r="V26" s="464">
        <f t="shared" ref="V26" si="9">SUM(W26:Z26)</f>
        <v>0</v>
      </c>
      <c r="W26" s="464">
        <f t="shared" ref="W26" si="10">SUM(W27)</f>
        <v>0</v>
      </c>
      <c r="X26" s="464">
        <f t="shared" ref="X26" si="11">SUM(X27)</f>
        <v>0</v>
      </c>
      <c r="Y26" s="464">
        <f t="shared" ref="Y26" si="12">SUM(Y27)</f>
        <v>0</v>
      </c>
      <c r="Z26" s="464">
        <f t="shared" ref="Z26" si="13">SUM(Z27)</f>
        <v>0</v>
      </c>
      <c r="AA26" s="464">
        <f t="shared" ref="AA26" si="14">SUM(AB26:AE26)</f>
        <v>19747</v>
      </c>
      <c r="AB26" s="464">
        <f t="shared" ref="AB26" si="15">SUM(AB27)</f>
        <v>0</v>
      </c>
      <c r="AC26" s="464">
        <f t="shared" ref="AC26" si="16">SUM(AC27)</f>
        <v>19747</v>
      </c>
      <c r="AD26" s="464">
        <f t="shared" ref="AD26" si="17">SUM(AD27)</f>
        <v>0</v>
      </c>
      <c r="AE26" s="464">
        <f t="shared" ref="AE26" si="18">SUM(AE27)</f>
        <v>0</v>
      </c>
    </row>
    <row r="27" spans="1:31" s="29" customFormat="1" ht="30" customHeight="1">
      <c r="A27" s="250"/>
      <c r="B27" s="713" t="s">
        <v>677</v>
      </c>
      <c r="C27" s="714"/>
      <c r="D27" s="714"/>
      <c r="E27" s="714"/>
      <c r="F27" s="715"/>
      <c r="G27" s="232">
        <f t="shared" ref="G27:G30" si="19">SUM(H27:K27)</f>
        <v>0</v>
      </c>
      <c r="H27" s="250"/>
      <c r="I27" s="250"/>
      <c r="J27" s="250"/>
      <c r="K27" s="250"/>
      <c r="L27" s="232">
        <f t="shared" ref="L27:L30" si="20">SUM(M27:P27)</f>
        <v>19747</v>
      </c>
      <c r="M27" s="232">
        <f>'Розшифровка кап'!G18</f>
        <v>0</v>
      </c>
      <c r="N27" s="232">
        <f>'Розшифровка кап'!H18</f>
        <v>19747</v>
      </c>
      <c r="O27" s="232">
        <f>'Розшифровка кап'!I18</f>
        <v>0</v>
      </c>
      <c r="P27" s="232">
        <f>'Розшифровка кап'!J18</f>
        <v>0</v>
      </c>
      <c r="Q27" s="232"/>
      <c r="R27" s="232"/>
      <c r="S27" s="232"/>
      <c r="T27" s="232"/>
      <c r="U27" s="232"/>
      <c r="V27" s="466"/>
      <c r="W27" s="466"/>
      <c r="X27" s="466"/>
      <c r="Y27" s="466"/>
      <c r="Z27" s="466"/>
      <c r="AA27" s="466">
        <f>AB27+AC27+AD27+AE27</f>
        <v>19747</v>
      </c>
      <c r="AB27" s="466">
        <f>H27+M27+R27+W27</f>
        <v>0</v>
      </c>
      <c r="AC27" s="466">
        <f t="shared" ref="AC27" si="21">I27+N27+S27+X27</f>
        <v>19747</v>
      </c>
      <c r="AD27" s="466">
        <f t="shared" ref="AD27" si="22">J27+O27+T27+Y27</f>
        <v>0</v>
      </c>
      <c r="AE27" s="466">
        <f t="shared" ref="AE27" si="23">K27+P27+U27+Z27</f>
        <v>0</v>
      </c>
    </row>
    <row r="28" spans="1:31" s="465" customFormat="1" ht="46.5" customHeight="1">
      <c r="A28" s="297">
        <v>2</v>
      </c>
      <c r="B28" s="716" t="s">
        <v>569</v>
      </c>
      <c r="C28" s="716"/>
      <c r="D28" s="716"/>
      <c r="E28" s="716"/>
      <c r="F28" s="716"/>
      <c r="G28" s="464">
        <f t="shared" si="19"/>
        <v>0</v>
      </c>
      <c r="H28" s="464">
        <f>SUM(H29)</f>
        <v>0</v>
      </c>
      <c r="I28" s="464">
        <f t="shared" ref="I28" si="24">SUM(I29)</f>
        <v>0</v>
      </c>
      <c r="J28" s="464">
        <f t="shared" ref="J28" si="25">SUM(J29)</f>
        <v>0</v>
      </c>
      <c r="K28" s="464">
        <f t="shared" ref="K28" si="26">SUM(K29)</f>
        <v>0</v>
      </c>
      <c r="L28" s="464">
        <f t="shared" si="20"/>
        <v>0</v>
      </c>
      <c r="M28" s="464">
        <f t="shared" ref="M28" si="27">SUM(M29)</f>
        <v>0</v>
      </c>
      <c r="N28" s="464">
        <f t="shared" ref="N28" si="28">SUM(N29)</f>
        <v>0</v>
      </c>
      <c r="O28" s="464">
        <f t="shared" ref="O28" si="29">SUM(O29)</f>
        <v>0</v>
      </c>
      <c r="P28" s="464">
        <f t="shared" ref="P28" si="30">SUM(P29)</f>
        <v>0</v>
      </c>
      <c r="Q28" s="464">
        <f t="shared" ref="Q28" si="31">SUM(R28:U28)</f>
        <v>80</v>
      </c>
      <c r="R28" s="464">
        <f t="shared" ref="R28" si="32">SUM(R29)</f>
        <v>20</v>
      </c>
      <c r="S28" s="464">
        <f t="shared" ref="S28" si="33">SUM(S29)</f>
        <v>20</v>
      </c>
      <c r="T28" s="464">
        <f t="shared" ref="T28" si="34">SUM(T29)</f>
        <v>20</v>
      </c>
      <c r="U28" s="464">
        <f t="shared" ref="U28" si="35">SUM(U29)</f>
        <v>20</v>
      </c>
      <c r="V28" s="464">
        <f t="shared" ref="V28" si="36">SUM(W28:Z28)</f>
        <v>0</v>
      </c>
      <c r="W28" s="464">
        <f t="shared" ref="W28" si="37">SUM(W29)</f>
        <v>0</v>
      </c>
      <c r="X28" s="464">
        <f t="shared" ref="X28" si="38">SUM(X29)</f>
        <v>0</v>
      </c>
      <c r="Y28" s="464">
        <f t="shared" ref="Y28" si="39">SUM(Y29)</f>
        <v>0</v>
      </c>
      <c r="Z28" s="464">
        <f t="shared" ref="Z28" si="40">SUM(Z29)</f>
        <v>0</v>
      </c>
      <c r="AA28" s="464">
        <f t="shared" ref="AA28" si="41">SUM(AB28:AE28)</f>
        <v>80</v>
      </c>
      <c r="AB28" s="464">
        <f t="shared" ref="AB28" si="42">SUM(AB29)</f>
        <v>20</v>
      </c>
      <c r="AC28" s="464">
        <f t="shared" ref="AC28" si="43">SUM(AC29)</f>
        <v>20</v>
      </c>
      <c r="AD28" s="464">
        <f t="shared" ref="AD28" si="44">SUM(AD29)</f>
        <v>20</v>
      </c>
      <c r="AE28" s="464">
        <f t="shared" ref="AE28" si="45">SUM(AE29)</f>
        <v>20</v>
      </c>
    </row>
    <row r="29" spans="1:31" s="29" customFormat="1" ht="30" customHeight="1">
      <c r="A29" s="426"/>
      <c r="B29" s="713" t="s">
        <v>485</v>
      </c>
      <c r="C29" s="714"/>
      <c r="D29" s="714"/>
      <c r="E29" s="714"/>
      <c r="F29" s="715"/>
      <c r="G29" s="232">
        <f t="shared" si="19"/>
        <v>0</v>
      </c>
      <c r="H29" s="467"/>
      <c r="I29" s="467"/>
      <c r="J29" s="467"/>
      <c r="K29" s="467"/>
      <c r="L29" s="232">
        <f t="shared" si="20"/>
        <v>0</v>
      </c>
      <c r="M29" s="232"/>
      <c r="N29" s="232"/>
      <c r="O29" s="232"/>
      <c r="P29" s="232"/>
      <c r="Q29" s="232">
        <f t="shared" ref="Q29" si="46">R29+S29+T29+U29</f>
        <v>80</v>
      </c>
      <c r="R29" s="232">
        <v>20</v>
      </c>
      <c r="S29" s="232">
        <v>20</v>
      </c>
      <c r="T29" s="232">
        <v>20</v>
      </c>
      <c r="U29" s="232">
        <v>20</v>
      </c>
      <c r="V29" s="232">
        <f>SUM(W29,X29,Y29,Z29)</f>
        <v>0</v>
      </c>
      <c r="W29" s="232"/>
      <c r="X29" s="232"/>
      <c r="Y29" s="232"/>
      <c r="Z29" s="232"/>
      <c r="AA29" s="466">
        <f t="shared" ref="AA29" si="47">AB29+AC29+AD29+AE29</f>
        <v>80</v>
      </c>
      <c r="AB29" s="466">
        <f>H29+M29+R29+W29</f>
        <v>20</v>
      </c>
      <c r="AC29" s="466">
        <f t="shared" ref="AC29:AE29" si="48">I29+N29+S29+X29</f>
        <v>20</v>
      </c>
      <c r="AD29" s="466">
        <f t="shared" si="48"/>
        <v>20</v>
      </c>
      <c r="AE29" s="466">
        <f t="shared" si="48"/>
        <v>20</v>
      </c>
    </row>
    <row r="30" spans="1:31" s="29" customFormat="1" ht="40.5" customHeight="1">
      <c r="A30" s="705" t="s">
        <v>49</v>
      </c>
      <c r="B30" s="706"/>
      <c r="C30" s="706"/>
      <c r="D30" s="706"/>
      <c r="E30" s="706"/>
      <c r="F30" s="707"/>
      <c r="G30" s="233">
        <f t="shared" si="19"/>
        <v>0</v>
      </c>
      <c r="H30" s="233">
        <f>H26+H28</f>
        <v>0</v>
      </c>
      <c r="I30" s="233">
        <f t="shared" ref="I30:K30" si="49">I26+I28</f>
        <v>0</v>
      </c>
      <c r="J30" s="233">
        <f t="shared" si="49"/>
        <v>0</v>
      </c>
      <c r="K30" s="233">
        <f t="shared" si="49"/>
        <v>0</v>
      </c>
      <c r="L30" s="233">
        <f t="shared" si="20"/>
        <v>19747</v>
      </c>
      <c r="M30" s="233">
        <f>M26+M28</f>
        <v>0</v>
      </c>
      <c r="N30" s="233">
        <f t="shared" ref="N30:P30" si="50">N26+N28</f>
        <v>19747</v>
      </c>
      <c r="O30" s="233">
        <f t="shared" si="50"/>
        <v>0</v>
      </c>
      <c r="P30" s="233">
        <f t="shared" si="50"/>
        <v>0</v>
      </c>
      <c r="Q30" s="233">
        <f t="shared" ref="Q30" si="51">SUM(R30:U30)</f>
        <v>80</v>
      </c>
      <c r="R30" s="233">
        <f t="shared" ref="R30:AE30" si="52">R26+R28</f>
        <v>20</v>
      </c>
      <c r="S30" s="233">
        <f t="shared" si="52"/>
        <v>20</v>
      </c>
      <c r="T30" s="233">
        <f t="shared" si="52"/>
        <v>20</v>
      </c>
      <c r="U30" s="233">
        <f t="shared" si="52"/>
        <v>20</v>
      </c>
      <c r="V30" s="233">
        <f t="shared" ref="V30" si="53">SUM(W30:Z30)</f>
        <v>0</v>
      </c>
      <c r="W30" s="233">
        <f t="shared" ref="W30" si="54">W26+W28</f>
        <v>0</v>
      </c>
      <c r="X30" s="233">
        <f t="shared" si="52"/>
        <v>0</v>
      </c>
      <c r="Y30" s="233">
        <f t="shared" si="52"/>
        <v>0</v>
      </c>
      <c r="Z30" s="233">
        <f t="shared" si="52"/>
        <v>0</v>
      </c>
      <c r="AA30" s="233">
        <f t="shared" ref="AA30" si="55">SUM(AB30:AE30)</f>
        <v>19827</v>
      </c>
      <c r="AB30" s="233">
        <f t="shared" ref="AB30" si="56">AB26+AB28</f>
        <v>20</v>
      </c>
      <c r="AC30" s="233">
        <f t="shared" si="52"/>
        <v>19767</v>
      </c>
      <c r="AD30" s="233">
        <f t="shared" si="52"/>
        <v>20</v>
      </c>
      <c r="AE30" s="233">
        <f t="shared" si="52"/>
        <v>20</v>
      </c>
    </row>
    <row r="31" spans="1:31" s="29" customFormat="1" ht="36" customHeight="1">
      <c r="A31" s="609" t="s">
        <v>50</v>
      </c>
      <c r="B31" s="475"/>
      <c r="C31" s="475"/>
      <c r="D31" s="475"/>
      <c r="E31" s="475"/>
      <c r="F31" s="610"/>
      <c r="G31" s="468">
        <f>G30/AA30*100</f>
        <v>0</v>
      </c>
      <c r="H31" s="468"/>
      <c r="I31" s="468"/>
      <c r="J31" s="468"/>
      <c r="K31" s="468"/>
      <c r="L31" s="467">
        <f>L30/AA30*100</f>
        <v>99.6</v>
      </c>
      <c r="M31" s="232"/>
      <c r="N31" s="232"/>
      <c r="O31" s="232"/>
      <c r="P31" s="232"/>
      <c r="Q31" s="467">
        <f>Q30/AA30*100</f>
        <v>0.4</v>
      </c>
      <c r="R31" s="232"/>
      <c r="S31" s="232"/>
      <c r="T31" s="232"/>
      <c r="U31" s="232"/>
      <c r="V31" s="232">
        <f>V30/AA30*100</f>
        <v>0</v>
      </c>
      <c r="W31" s="232"/>
      <c r="X31" s="232"/>
      <c r="Y31" s="232"/>
      <c r="Z31" s="232"/>
      <c r="AA31" s="467">
        <f>SUM(G31,L31,Q31,V31)</f>
        <v>100</v>
      </c>
      <c r="AB31" s="232"/>
      <c r="AC31" s="232"/>
      <c r="AD31" s="232"/>
      <c r="AE31" s="232"/>
    </row>
    <row r="32" spans="1:31" ht="20.100000000000001" customHeight="1">
      <c r="A32" s="209"/>
      <c r="B32" s="209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209"/>
      <c r="T32" s="209"/>
      <c r="U32" s="209"/>
      <c r="V32" s="209"/>
      <c r="W32" s="45"/>
      <c r="X32" s="209"/>
      <c r="Y32" s="209"/>
      <c r="Z32" s="209"/>
      <c r="AA32" s="209"/>
    </row>
    <row r="33" spans="1:31" ht="20.100000000000001" customHeight="1">
      <c r="A33" s="35"/>
      <c r="B33" s="3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31" s="38" customFormat="1" ht="20.100000000000001" customHeight="1">
      <c r="B34" s="38" t="s">
        <v>346</v>
      </c>
    </row>
    <row r="35" spans="1:31" s="199" customFormat="1" ht="20.100000000000001" customHeight="1">
      <c r="A35" s="21"/>
      <c r="B35" s="21"/>
      <c r="C35" s="21"/>
      <c r="D35" s="21"/>
      <c r="E35" s="21"/>
      <c r="F35" s="21"/>
      <c r="G35" s="21"/>
      <c r="H35" s="21"/>
      <c r="I35" s="21"/>
      <c r="K35" s="21"/>
      <c r="AE35" s="37" t="s">
        <v>316</v>
      </c>
    </row>
    <row r="36" spans="1:31" s="224" customFormat="1" ht="34.5" customHeight="1">
      <c r="A36" s="704" t="s">
        <v>46</v>
      </c>
      <c r="B36" s="545" t="s">
        <v>175</v>
      </c>
      <c r="C36" s="545" t="s">
        <v>182</v>
      </c>
      <c r="D36" s="545"/>
      <c r="E36" s="545" t="s">
        <v>140</v>
      </c>
      <c r="F36" s="545"/>
      <c r="G36" s="545" t="s">
        <v>326</v>
      </c>
      <c r="H36" s="545"/>
      <c r="I36" s="545" t="s">
        <v>327</v>
      </c>
      <c r="J36" s="545"/>
      <c r="K36" s="545" t="s">
        <v>666</v>
      </c>
      <c r="L36" s="545"/>
      <c r="M36" s="545"/>
      <c r="N36" s="545"/>
      <c r="O36" s="545"/>
      <c r="P36" s="545"/>
      <c r="Q36" s="545"/>
      <c r="R36" s="545"/>
      <c r="S36" s="545"/>
      <c r="T36" s="545"/>
      <c r="U36" s="545" t="s">
        <v>402</v>
      </c>
      <c r="V36" s="545"/>
      <c r="W36" s="545"/>
      <c r="X36" s="545"/>
      <c r="Y36" s="545"/>
      <c r="Z36" s="545" t="s">
        <v>277</v>
      </c>
      <c r="AA36" s="545"/>
      <c r="AB36" s="545"/>
      <c r="AC36" s="545"/>
      <c r="AD36" s="545"/>
      <c r="AE36" s="545"/>
    </row>
    <row r="37" spans="1:31" s="224" customFormat="1" ht="63.75" customHeight="1">
      <c r="A37" s="704"/>
      <c r="B37" s="545"/>
      <c r="C37" s="545"/>
      <c r="D37" s="545"/>
      <c r="E37" s="545"/>
      <c r="F37" s="545"/>
      <c r="G37" s="545"/>
      <c r="H37" s="545"/>
      <c r="I37" s="545"/>
      <c r="J37" s="545"/>
      <c r="K37" s="545" t="s">
        <v>192</v>
      </c>
      <c r="L37" s="545"/>
      <c r="M37" s="545" t="s">
        <v>193</v>
      </c>
      <c r="N37" s="545"/>
      <c r="O37" s="545" t="s">
        <v>181</v>
      </c>
      <c r="P37" s="545"/>
      <c r="Q37" s="545"/>
      <c r="R37" s="545"/>
      <c r="S37" s="545"/>
      <c r="T37" s="545"/>
      <c r="U37" s="545"/>
      <c r="V37" s="545"/>
      <c r="W37" s="545"/>
      <c r="X37" s="545"/>
      <c r="Y37" s="545"/>
      <c r="Z37" s="545"/>
      <c r="AA37" s="545"/>
      <c r="AB37" s="545"/>
      <c r="AC37" s="545"/>
      <c r="AD37" s="545"/>
      <c r="AE37" s="545"/>
    </row>
    <row r="38" spans="1:31" s="225" customFormat="1" ht="82.5" customHeight="1">
      <c r="A38" s="704"/>
      <c r="B38" s="545"/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O38" s="545" t="s">
        <v>172</v>
      </c>
      <c r="P38" s="545"/>
      <c r="Q38" s="545" t="s">
        <v>173</v>
      </c>
      <c r="R38" s="545"/>
      <c r="S38" s="545" t="s">
        <v>174</v>
      </c>
      <c r="T38" s="545"/>
      <c r="U38" s="545"/>
      <c r="V38" s="545"/>
      <c r="W38" s="545"/>
      <c r="X38" s="545"/>
      <c r="Y38" s="545"/>
      <c r="Z38" s="545"/>
      <c r="AA38" s="545"/>
      <c r="AB38" s="545"/>
      <c r="AC38" s="545"/>
      <c r="AD38" s="545"/>
      <c r="AE38" s="545"/>
    </row>
    <row r="39" spans="1:31" s="224" customFormat="1" ht="33" customHeight="1">
      <c r="A39" s="200">
        <v>1</v>
      </c>
      <c r="B39" s="201">
        <v>2</v>
      </c>
      <c r="C39" s="545">
        <v>3</v>
      </c>
      <c r="D39" s="545"/>
      <c r="E39" s="545">
        <v>4</v>
      </c>
      <c r="F39" s="545"/>
      <c r="G39" s="545">
        <v>5</v>
      </c>
      <c r="H39" s="545"/>
      <c r="I39" s="545">
        <v>6</v>
      </c>
      <c r="J39" s="545"/>
      <c r="K39" s="662">
        <v>7</v>
      </c>
      <c r="L39" s="664"/>
      <c r="M39" s="662">
        <v>8</v>
      </c>
      <c r="N39" s="664"/>
      <c r="O39" s="545">
        <v>9</v>
      </c>
      <c r="P39" s="545"/>
      <c r="Q39" s="704">
        <v>10</v>
      </c>
      <c r="R39" s="704"/>
      <c r="S39" s="545">
        <v>11</v>
      </c>
      <c r="T39" s="545"/>
      <c r="U39" s="545">
        <v>12</v>
      </c>
      <c r="V39" s="545"/>
      <c r="W39" s="545"/>
      <c r="X39" s="545"/>
      <c r="Y39" s="545"/>
      <c r="Z39" s="545">
        <v>13</v>
      </c>
      <c r="AA39" s="545"/>
      <c r="AB39" s="545"/>
      <c r="AC39" s="545"/>
      <c r="AD39" s="545"/>
      <c r="AE39" s="545"/>
    </row>
    <row r="40" spans="1:31" s="224" customFormat="1" ht="28.5" customHeight="1">
      <c r="A40" s="36"/>
      <c r="B40" s="46"/>
      <c r="C40" s="681"/>
      <c r="D40" s="681"/>
      <c r="E40" s="682"/>
      <c r="F40" s="682"/>
      <c r="G40" s="682"/>
      <c r="H40" s="682"/>
      <c r="I40" s="682"/>
      <c r="J40" s="682"/>
      <c r="K40" s="692"/>
      <c r="L40" s="693"/>
      <c r="M40" s="692">
        <f t="shared" ref="M40" si="57">SUM(O40,Q40,S40)</f>
        <v>0</v>
      </c>
      <c r="N40" s="693"/>
      <c r="O40" s="682"/>
      <c r="P40" s="682"/>
      <c r="Q40" s="682"/>
      <c r="R40" s="682"/>
      <c r="S40" s="682"/>
      <c r="T40" s="682"/>
      <c r="U40" s="724"/>
      <c r="V40" s="724"/>
      <c r="W40" s="724"/>
      <c r="X40" s="724"/>
      <c r="Y40" s="724"/>
      <c r="Z40" s="723"/>
      <c r="AA40" s="723"/>
      <c r="AB40" s="723"/>
      <c r="AC40" s="723"/>
      <c r="AD40" s="723"/>
      <c r="AE40" s="723"/>
    </row>
    <row r="41" spans="1:31" s="224" customFormat="1" ht="32.25" customHeight="1">
      <c r="A41" s="678" t="s">
        <v>49</v>
      </c>
      <c r="B41" s="679"/>
      <c r="C41" s="679"/>
      <c r="D41" s="680"/>
      <c r="E41" s="683">
        <f>SUM(E40:E40)</f>
        <v>0</v>
      </c>
      <c r="F41" s="683"/>
      <c r="G41" s="683">
        <f>SUM(G40:G40)</f>
        <v>0</v>
      </c>
      <c r="H41" s="683"/>
      <c r="I41" s="683">
        <f>SUM(I40:I40)</f>
        <v>0</v>
      </c>
      <c r="J41" s="683"/>
      <c r="K41" s="683">
        <f>SUM(K40:K40)</f>
        <v>0</v>
      </c>
      <c r="L41" s="683"/>
      <c r="M41" s="683">
        <f>SUM(M40:M40)</f>
        <v>0</v>
      </c>
      <c r="N41" s="683"/>
      <c r="O41" s="683">
        <f>SUM(O40:O40)</f>
        <v>0</v>
      </c>
      <c r="P41" s="683"/>
      <c r="Q41" s="683">
        <f>SUM(Q40:Q40)</f>
        <v>0</v>
      </c>
      <c r="R41" s="683"/>
      <c r="S41" s="683">
        <f>SUM(S40:S40)</f>
        <v>0</v>
      </c>
      <c r="T41" s="683"/>
      <c r="U41" s="686"/>
      <c r="V41" s="686"/>
      <c r="W41" s="686"/>
      <c r="X41" s="686"/>
      <c r="Y41" s="686"/>
      <c r="Z41" s="677"/>
      <c r="AA41" s="677"/>
      <c r="AB41" s="677"/>
      <c r="AC41" s="677"/>
      <c r="AD41" s="677"/>
      <c r="AE41" s="677"/>
    </row>
    <row r="42" spans="1:31" ht="20.100000000000001" customHeight="1">
      <c r="A42" s="35"/>
      <c r="B42" s="35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31" ht="20.100000000000001" customHeight="1">
      <c r="A43" s="35"/>
      <c r="B43" s="35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1:31" s="177" customFormat="1" ht="36" customHeight="1">
      <c r="B44" s="673" t="s">
        <v>570</v>
      </c>
      <c r="C44" s="674"/>
      <c r="D44" s="674"/>
      <c r="E44" s="674"/>
      <c r="F44" s="674"/>
      <c r="G44" s="208"/>
      <c r="H44" s="208"/>
      <c r="I44" s="208"/>
      <c r="J44" s="208"/>
      <c r="K44" s="208"/>
      <c r="L44" s="675" t="s">
        <v>157</v>
      </c>
      <c r="M44" s="675"/>
      <c r="N44" s="675"/>
      <c r="O44" s="675"/>
      <c r="P44" s="675"/>
      <c r="Q44" s="165"/>
      <c r="R44" s="165"/>
      <c r="S44" s="165"/>
      <c r="T44" s="165"/>
      <c r="U44" s="165"/>
      <c r="V44" s="676" t="s">
        <v>657</v>
      </c>
      <c r="W44" s="676"/>
      <c r="X44" s="676"/>
      <c r="Y44" s="676"/>
      <c r="Z44" s="676"/>
    </row>
    <row r="45" spans="1:31" s="207" customFormat="1" ht="19.5" customHeight="1">
      <c r="B45" s="178"/>
      <c r="C45" s="207" t="s">
        <v>68</v>
      </c>
      <c r="E45" s="179"/>
      <c r="F45" s="179"/>
      <c r="G45" s="179"/>
      <c r="H45" s="179"/>
      <c r="I45" s="179"/>
      <c r="J45" s="179"/>
      <c r="K45" s="179"/>
      <c r="M45" s="178"/>
      <c r="N45" s="161" t="s">
        <v>69</v>
      </c>
      <c r="O45" s="178"/>
      <c r="Q45" s="179"/>
      <c r="R45" s="179"/>
      <c r="S45" s="179"/>
      <c r="V45" s="672" t="s">
        <v>97</v>
      </c>
      <c r="W45" s="672"/>
      <c r="X45" s="672"/>
      <c r="Y45" s="672"/>
      <c r="Z45" s="672"/>
    </row>
    <row r="46" spans="1:31" ht="20.100000000000001" customHeight="1">
      <c r="B46" s="47"/>
      <c r="C46" s="47"/>
      <c r="D46" s="47"/>
      <c r="E46" s="47"/>
      <c r="F46" s="47"/>
      <c r="G46" s="4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7"/>
      <c r="U46" s="47"/>
    </row>
    <row r="47" spans="1:31" ht="20.100000000000001" customHeight="1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31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 spans="1:2" s="650" customFormat="1" ht="19.2" customHeight="1">
      <c r="A49" s="649" t="s">
        <v>321</v>
      </c>
    </row>
    <row r="52" spans="1:2">
      <c r="B52" s="223"/>
    </row>
    <row r="53" spans="1:2">
      <c r="B53" s="223"/>
    </row>
    <row r="54" spans="1:2">
      <c r="B54" s="223"/>
    </row>
    <row r="55" spans="1:2">
      <c r="B55" s="223"/>
    </row>
    <row r="56" spans="1:2">
      <c r="B56" s="223"/>
    </row>
    <row r="57" spans="1:2">
      <c r="B57" s="223"/>
    </row>
    <row r="58" spans="1:2">
      <c r="B58" s="223"/>
    </row>
  </sheetData>
  <sheetProtection algorithmName="SHA-512" hashValue="YyD4bR3ZqvIQuBb8gTrhRXNnUcnPMXg9XYlEZEABjbznpQM+c71UY0xHyzqO3Jym8casJxoZeSwTxaI2qmcZMQ==" saltValue="slXXtbFNmuv4Cyb8J/fv3w==" spinCount="100000" sheet="1" objects="1" scenarios="1" selectLockedCells="1" selectUnlockedCells="1"/>
  <mergeCells count="147">
    <mergeCell ref="W14:Y15"/>
    <mergeCell ref="Z4:AB6"/>
    <mergeCell ref="AC4:AE6"/>
    <mergeCell ref="AC7:AE7"/>
    <mergeCell ref="Z9:AB9"/>
    <mergeCell ref="V9:Y9"/>
    <mergeCell ref="V22:Z22"/>
    <mergeCell ref="Q22:U22"/>
    <mergeCell ref="AA23:AA24"/>
    <mergeCell ref="R9:U9"/>
    <mergeCell ref="W16:Y16"/>
    <mergeCell ref="R8:U8"/>
    <mergeCell ref="W23:Z23"/>
    <mergeCell ref="AC9:AE9"/>
    <mergeCell ref="AC8:AE8"/>
    <mergeCell ref="Z8:AB8"/>
    <mergeCell ref="Z7:AB7"/>
    <mergeCell ref="R7:U7"/>
    <mergeCell ref="Z17:AB17"/>
    <mergeCell ref="W17:Y17"/>
    <mergeCell ref="M23:P23"/>
    <mergeCell ref="G17:M17"/>
    <mergeCell ref="B13:B15"/>
    <mergeCell ref="Z16:AB16"/>
    <mergeCell ref="B22:F24"/>
    <mergeCell ref="V8:Y8"/>
    <mergeCell ref="G13:M15"/>
    <mergeCell ref="G22:K22"/>
    <mergeCell ref="G23:G24"/>
    <mergeCell ref="G8:M8"/>
    <mergeCell ref="C9:F9"/>
    <mergeCell ref="G9:M9"/>
    <mergeCell ref="G18:M18"/>
    <mergeCell ref="Q13:Y13"/>
    <mergeCell ref="Z13:AB15"/>
    <mergeCell ref="Q23:Q24"/>
    <mergeCell ref="AA22:AE22"/>
    <mergeCell ref="V23:V24"/>
    <mergeCell ref="AB23:AE23"/>
    <mergeCell ref="Q16:S16"/>
    <mergeCell ref="N8:Q8"/>
    <mergeCell ref="R23:U23"/>
    <mergeCell ref="N13:P15"/>
    <mergeCell ref="T14:V15"/>
    <mergeCell ref="Z39:AE39"/>
    <mergeCell ref="Q40:R40"/>
    <mergeCell ref="M39:N39"/>
    <mergeCell ref="U36:Y38"/>
    <mergeCell ref="U39:Y39"/>
    <mergeCell ref="S40:T40"/>
    <mergeCell ref="Q38:R38"/>
    <mergeCell ref="Z40:AE40"/>
    <mergeCell ref="U40:Y40"/>
    <mergeCell ref="S38:T38"/>
    <mergeCell ref="Z36:AE38"/>
    <mergeCell ref="M41:N41"/>
    <mergeCell ref="O41:P41"/>
    <mergeCell ref="I41:J41"/>
    <mergeCell ref="G4:M6"/>
    <mergeCell ref="C8:F8"/>
    <mergeCell ref="G7:M7"/>
    <mergeCell ref="N6:Q6"/>
    <mergeCell ref="N4:Y4"/>
    <mergeCell ref="R6:U6"/>
    <mergeCell ref="V6:Y6"/>
    <mergeCell ref="V7:Y7"/>
    <mergeCell ref="N7:Q7"/>
    <mergeCell ref="Q41:R41"/>
    <mergeCell ref="L22:P22"/>
    <mergeCell ref="L23:L24"/>
    <mergeCell ref="K41:L41"/>
    <mergeCell ref="G40:H40"/>
    <mergeCell ref="E39:F39"/>
    <mergeCell ref="C39:D39"/>
    <mergeCell ref="I39:J39"/>
    <mergeCell ref="Q39:R39"/>
    <mergeCell ref="O40:P40"/>
    <mergeCell ref="O38:P38"/>
    <mergeCell ref="Q14:S15"/>
    <mergeCell ref="A4:A6"/>
    <mergeCell ref="B4:B6"/>
    <mergeCell ref="C4:F6"/>
    <mergeCell ref="A36:A38"/>
    <mergeCell ref="B36:B38"/>
    <mergeCell ref="C36:D38"/>
    <mergeCell ref="A30:F30"/>
    <mergeCell ref="A31:F31"/>
    <mergeCell ref="E36:F38"/>
    <mergeCell ref="A13:A15"/>
    <mergeCell ref="C7:F7"/>
    <mergeCell ref="A22:A24"/>
    <mergeCell ref="C18:F18"/>
    <mergeCell ref="A18:B18"/>
    <mergeCell ref="A9:B9"/>
    <mergeCell ref="B29:F29"/>
    <mergeCell ref="B28:F28"/>
    <mergeCell ref="B27:F27"/>
    <mergeCell ref="B26:F26"/>
    <mergeCell ref="B25:F25"/>
    <mergeCell ref="AB1:AE1"/>
    <mergeCell ref="S41:T41"/>
    <mergeCell ref="U41:Y41"/>
    <mergeCell ref="K36:T36"/>
    <mergeCell ref="N9:Q9"/>
    <mergeCell ref="I40:J40"/>
    <mergeCell ref="H23:K23"/>
    <mergeCell ref="I36:J38"/>
    <mergeCell ref="AD3:AE3"/>
    <mergeCell ref="O37:T37"/>
    <mergeCell ref="S39:T39"/>
    <mergeCell ref="T18:V18"/>
    <mergeCell ref="Q18:S18"/>
    <mergeCell ref="N18:P18"/>
    <mergeCell ref="Z18:AB18"/>
    <mergeCell ref="W18:Y18"/>
    <mergeCell ref="O39:P39"/>
    <mergeCell ref="G36:H38"/>
    <mergeCell ref="K39:L39"/>
    <mergeCell ref="K40:L40"/>
    <mergeCell ref="G39:H39"/>
    <mergeCell ref="K37:L38"/>
    <mergeCell ref="M40:N40"/>
    <mergeCell ref="G41:H41"/>
    <mergeCell ref="A49:XFD49"/>
    <mergeCell ref="AC18:AE18"/>
    <mergeCell ref="AC13:AE15"/>
    <mergeCell ref="AC16:AE16"/>
    <mergeCell ref="AC17:AE17"/>
    <mergeCell ref="C13:F15"/>
    <mergeCell ref="C16:F16"/>
    <mergeCell ref="N17:P17"/>
    <mergeCell ref="C17:F17"/>
    <mergeCell ref="T16:V16"/>
    <mergeCell ref="Q17:S17"/>
    <mergeCell ref="G16:M16"/>
    <mergeCell ref="N16:P16"/>
    <mergeCell ref="T17:V17"/>
    <mergeCell ref="V45:Z45"/>
    <mergeCell ref="B44:F44"/>
    <mergeCell ref="L44:P44"/>
    <mergeCell ref="V44:Z44"/>
    <mergeCell ref="Z41:AE41"/>
    <mergeCell ref="A41:D41"/>
    <mergeCell ref="M37:N38"/>
    <mergeCell ref="C40:D40"/>
    <mergeCell ref="E40:F40"/>
    <mergeCell ref="E41:F41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36" orientation="landscape" r:id="rId1"/>
  <headerFooter alignWithMargins="0"/>
  <ignoredErrors>
    <ignoredError sqref="N9 R9:Y9 E41:T41" formulaRange="1"/>
    <ignoredError sqref="AA31:AE31 H31:Z31 AA8:AB8 AA9:AB9 AD8:AE8 AD9:AE9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5"/>
  <sheetViews>
    <sheetView view="pageBreakPreview" zoomScale="60" zoomScaleNormal="75" workbookViewId="0">
      <selection activeCell="A11" sqref="A11:XFD11"/>
    </sheetView>
  </sheetViews>
  <sheetFormatPr defaultColWidth="9.109375" defaultRowHeight="18"/>
  <cols>
    <col min="1" max="1" width="39.5546875" style="49" customWidth="1"/>
    <col min="2" max="2" width="12.6640625" style="49" customWidth="1"/>
    <col min="3" max="3" width="18" style="49" customWidth="1"/>
    <col min="4" max="4" width="18.44140625" style="49" customWidth="1"/>
    <col min="5" max="5" width="18.6640625" style="49" customWidth="1"/>
    <col min="6" max="6" width="17.6640625" style="49" customWidth="1"/>
    <col min="7" max="7" width="16.33203125" style="49" customWidth="1"/>
    <col min="8" max="8" width="14" style="49" customWidth="1"/>
    <col min="9" max="9" width="14.88671875" style="49" customWidth="1"/>
    <col min="10" max="10" width="14" style="49" customWidth="1"/>
    <col min="11" max="16384" width="9.109375" style="49"/>
  </cols>
  <sheetData>
    <row r="1" spans="1:12" s="3" customFormat="1">
      <c r="H1" s="740"/>
      <c r="I1" s="740"/>
      <c r="J1" s="740"/>
    </row>
    <row r="2" spans="1:12">
      <c r="A2" s="3"/>
      <c r="I2" s="741" t="s">
        <v>349</v>
      </c>
      <c r="J2" s="741"/>
    </row>
    <row r="3" spans="1:12" ht="20.399999999999999">
      <c r="A3" s="749" t="s">
        <v>396</v>
      </c>
      <c r="B3" s="749"/>
      <c r="C3" s="749"/>
      <c r="D3" s="749"/>
      <c r="E3" s="749"/>
      <c r="F3" s="749"/>
      <c r="G3" s="749"/>
      <c r="H3" s="749"/>
      <c r="I3" s="749"/>
      <c r="J3" s="749"/>
    </row>
    <row r="4" spans="1:12">
      <c r="A4" s="750" t="s">
        <v>328</v>
      </c>
      <c r="B4" s="750"/>
      <c r="C4" s="750"/>
      <c r="D4" s="750"/>
      <c r="E4" s="750"/>
      <c r="F4" s="750"/>
      <c r="G4" s="750"/>
      <c r="H4" s="750"/>
      <c r="I4" s="750"/>
      <c r="J4" s="750"/>
    </row>
    <row r="5" spans="1:12" ht="32.25" customHeight="1">
      <c r="A5" s="751" t="s">
        <v>164</v>
      </c>
      <c r="B5" s="752" t="s">
        <v>17</v>
      </c>
      <c r="C5" s="542" t="s">
        <v>631</v>
      </c>
      <c r="D5" s="542" t="s">
        <v>632</v>
      </c>
      <c r="E5" s="546" t="s">
        <v>633</v>
      </c>
      <c r="F5" s="545" t="s">
        <v>634</v>
      </c>
      <c r="G5" s="545" t="s">
        <v>329</v>
      </c>
      <c r="H5" s="545"/>
      <c r="I5" s="545"/>
      <c r="J5" s="545"/>
    </row>
    <row r="6" spans="1:12" ht="128.25" customHeight="1">
      <c r="A6" s="751"/>
      <c r="B6" s="753"/>
      <c r="C6" s="543"/>
      <c r="D6" s="543"/>
      <c r="E6" s="547"/>
      <c r="F6" s="545"/>
      <c r="G6" s="237" t="s">
        <v>126</v>
      </c>
      <c r="H6" s="237" t="s">
        <v>127</v>
      </c>
      <c r="I6" s="237" t="s">
        <v>128</v>
      </c>
      <c r="J6" s="237" t="s">
        <v>63</v>
      </c>
    </row>
    <row r="7" spans="1:12" ht="31.5" customHeight="1">
      <c r="A7" s="13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</row>
    <row r="8" spans="1:12" ht="28.5" customHeight="1">
      <c r="A8" s="742" t="s">
        <v>397</v>
      </c>
      <c r="B8" s="743"/>
      <c r="C8" s="743"/>
      <c r="D8" s="743"/>
      <c r="E8" s="743"/>
      <c r="F8" s="743"/>
      <c r="G8" s="743"/>
      <c r="H8" s="743"/>
      <c r="I8" s="743"/>
      <c r="J8" s="744"/>
    </row>
    <row r="9" spans="1:12" ht="53.25" customHeight="1">
      <c r="A9" s="55" t="s">
        <v>331</v>
      </c>
      <c r="B9" s="180">
        <v>6000</v>
      </c>
      <c r="C9" s="67">
        <f t="shared" ref="C9:J9" si="0">SUM(C11:C12)</f>
        <v>0</v>
      </c>
      <c r="D9" s="67">
        <f t="shared" si="0"/>
        <v>0</v>
      </c>
      <c r="E9" s="67">
        <f>D9</f>
        <v>0</v>
      </c>
      <c r="F9" s="67">
        <f t="shared" si="0"/>
        <v>23697</v>
      </c>
      <c r="G9" s="67">
        <f t="shared" si="0"/>
        <v>0</v>
      </c>
      <c r="H9" s="67">
        <f t="shared" si="0"/>
        <v>23697</v>
      </c>
      <c r="I9" s="67">
        <f t="shared" si="0"/>
        <v>0</v>
      </c>
      <c r="J9" s="67">
        <f t="shared" si="0"/>
        <v>0</v>
      </c>
    </row>
    <row r="10" spans="1:12" ht="32.25" customHeight="1">
      <c r="A10" s="729" t="s">
        <v>333</v>
      </c>
      <c r="B10" s="730"/>
      <c r="C10" s="730"/>
      <c r="D10" s="730"/>
      <c r="E10" s="730"/>
      <c r="F10" s="730"/>
      <c r="G10" s="730"/>
      <c r="H10" s="730"/>
      <c r="I10" s="730"/>
      <c r="J10" s="731"/>
    </row>
    <row r="11" spans="1:12" s="3" customFormat="1" ht="70.5" customHeight="1">
      <c r="A11" s="315" t="s">
        <v>334</v>
      </c>
      <c r="B11" s="462">
        <v>6010</v>
      </c>
      <c r="C11" s="350"/>
      <c r="D11" s="350"/>
      <c r="E11" s="350"/>
      <c r="F11" s="350">
        <f>SUM(G11:J11)</f>
        <v>23697</v>
      </c>
      <c r="G11" s="350">
        <f>'Розшифровка статутний'!G8</f>
        <v>0</v>
      </c>
      <c r="H11" s="350">
        <f>'Розшифровка статутний'!H8</f>
        <v>23697</v>
      </c>
      <c r="I11" s="350">
        <f>'Розшифровка статутний'!I8</f>
        <v>0</v>
      </c>
      <c r="J11" s="350">
        <f>'Розшифровка статутний'!J8</f>
        <v>0</v>
      </c>
    </row>
    <row r="12" spans="1:12" ht="51" customHeight="1">
      <c r="A12" s="16" t="s">
        <v>332</v>
      </c>
      <c r="B12" s="4">
        <v>6020</v>
      </c>
      <c r="C12" s="66"/>
      <c r="D12" s="66"/>
      <c r="E12" s="66"/>
      <c r="F12" s="66">
        <f>SUM(G12:J12)</f>
        <v>0</v>
      </c>
      <c r="G12" s="66"/>
      <c r="H12" s="66"/>
      <c r="I12" s="66"/>
      <c r="J12" s="66"/>
    </row>
    <row r="13" spans="1:12">
      <c r="A13" s="12"/>
      <c r="B13" s="12"/>
      <c r="C13" s="12"/>
      <c r="D13" s="12"/>
      <c r="E13" s="12"/>
      <c r="F13" s="5"/>
      <c r="G13" s="5"/>
      <c r="H13" s="5"/>
      <c r="I13" s="5"/>
      <c r="J13" s="5"/>
    </row>
    <row r="14" spans="1:12" s="182" customFormat="1" ht="28.5" customHeight="1">
      <c r="A14" s="171" t="s">
        <v>519</v>
      </c>
      <c r="B14" s="176"/>
      <c r="C14" s="747" t="s">
        <v>84</v>
      </c>
      <c r="D14" s="748"/>
      <c r="E14" s="748"/>
      <c r="F14" s="748"/>
      <c r="G14" s="181"/>
      <c r="H14" s="739" t="s">
        <v>657</v>
      </c>
      <c r="I14" s="739"/>
      <c r="J14" s="739"/>
      <c r="K14" s="239"/>
      <c r="L14" s="239"/>
    </row>
    <row r="15" spans="1:12" s="183" customFormat="1" ht="37.5" customHeight="1">
      <c r="A15" s="172" t="s">
        <v>68</v>
      </c>
      <c r="B15" s="173"/>
      <c r="C15" s="745" t="s">
        <v>69</v>
      </c>
      <c r="D15" s="745"/>
      <c r="E15" s="745"/>
      <c r="F15" s="745"/>
      <c r="G15" s="175"/>
      <c r="H15" s="746" t="s">
        <v>82</v>
      </c>
      <c r="I15" s="746"/>
      <c r="J15" s="746"/>
    </row>
  </sheetData>
  <sheetProtection algorithmName="SHA-512" hashValue="E9FD0buVFmttngUAJSQtNk5xziG3DGJdXOuG0kETzhVv3yUL3uqClVO+iySvcnv3OgfjbzvqMAuyfLOf35z1aQ==" saltValue="jcXfGcjxLSQeeuuzvujL1w==" spinCount="100000" sheet="1" objects="1" scenarios="1" selectLockedCells="1" selectUnlockedCells="1"/>
  <mergeCells count="17">
    <mergeCell ref="C15:F15"/>
    <mergeCell ref="H15:J15"/>
    <mergeCell ref="C14:F14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4:J14"/>
    <mergeCell ref="H1:J1"/>
    <mergeCell ref="I2:J2"/>
    <mergeCell ref="A8:J8"/>
    <mergeCell ref="A10:J10"/>
  </mergeCells>
  <pageMargins left="0.59055118110236227" right="0.59055118110236227" top="0.98425196850393704" bottom="0.59055118110236227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39"/>
  <sheetViews>
    <sheetView view="pageBreakPreview" zoomScale="89" zoomScaleNormal="100" zoomScaleSheetLayoutView="89" workbookViewId="0">
      <selection activeCell="C19" sqref="C19"/>
    </sheetView>
  </sheetViews>
  <sheetFormatPr defaultColWidth="9.109375" defaultRowHeight="18"/>
  <cols>
    <col min="1" max="1" width="48.44140625" style="1" customWidth="1"/>
    <col min="2" max="2" width="12" style="357" customWidth="1"/>
    <col min="3" max="3" width="16.109375" style="357" customWidth="1"/>
    <col min="4" max="4" width="16.6640625" style="357" customWidth="1"/>
    <col min="5" max="5" width="16.109375" style="357" customWidth="1"/>
    <col min="6" max="6" width="16" style="357" customWidth="1"/>
    <col min="7" max="7" width="16.33203125" style="1" customWidth="1"/>
    <col min="8" max="8" width="16.88671875" style="1" customWidth="1"/>
    <col min="9" max="9" width="16.109375" style="1" customWidth="1"/>
    <col min="10" max="10" width="16.44140625" style="1" customWidth="1"/>
    <col min="11" max="16384" width="9.109375" style="1"/>
  </cols>
  <sheetData>
    <row r="2" spans="1:11" ht="33.75" customHeight="1">
      <c r="A2" s="754" t="s">
        <v>412</v>
      </c>
      <c r="B2" s="754"/>
      <c r="C2" s="754"/>
      <c r="D2" s="754"/>
      <c r="E2" s="754"/>
      <c r="F2" s="754"/>
      <c r="G2" s="754"/>
      <c r="H2" s="754"/>
    </row>
    <row r="3" spans="1:11" ht="28.5" customHeight="1">
      <c r="A3" s="254"/>
      <c r="B3" s="50"/>
      <c r="C3" s="254"/>
      <c r="D3" s="254"/>
      <c r="E3" s="254"/>
      <c r="F3" s="50"/>
      <c r="G3" s="254"/>
      <c r="H3" s="254"/>
      <c r="J3" s="1" t="s">
        <v>403</v>
      </c>
    </row>
    <row r="4" spans="1:11" ht="41.25" customHeight="1">
      <c r="A4" s="755" t="s">
        <v>164</v>
      </c>
      <c r="B4" s="752" t="s">
        <v>17</v>
      </c>
      <c r="C4" s="752" t="s">
        <v>605</v>
      </c>
      <c r="D4" s="752" t="s">
        <v>602</v>
      </c>
      <c r="E4" s="752" t="s">
        <v>603</v>
      </c>
      <c r="F4" s="757" t="s">
        <v>604</v>
      </c>
      <c r="G4" s="759" t="s">
        <v>329</v>
      </c>
      <c r="H4" s="760"/>
      <c r="I4" s="760"/>
      <c r="J4" s="761"/>
    </row>
    <row r="5" spans="1:11" ht="54" customHeight="1">
      <c r="A5" s="756"/>
      <c r="B5" s="753"/>
      <c r="C5" s="753"/>
      <c r="D5" s="753"/>
      <c r="E5" s="753"/>
      <c r="F5" s="758"/>
      <c r="G5" s="256" t="s">
        <v>126</v>
      </c>
      <c r="H5" s="256" t="s">
        <v>127</v>
      </c>
      <c r="I5" s="256" t="s">
        <v>128</v>
      </c>
      <c r="J5" s="256" t="s">
        <v>63</v>
      </c>
    </row>
    <row r="6" spans="1:11" ht="23.25" customHeight="1">
      <c r="A6" s="253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53">
        <v>9</v>
      </c>
      <c r="J6" s="253">
        <v>10</v>
      </c>
    </row>
    <row r="7" spans="1:11" ht="68.25" customHeight="1">
      <c r="A7" s="320" t="s">
        <v>413</v>
      </c>
      <c r="B7" s="406">
        <v>6000</v>
      </c>
      <c r="C7" s="227">
        <f>C8</f>
        <v>0</v>
      </c>
      <c r="D7" s="227">
        <f t="shared" ref="D7:J7" si="0">D8</f>
        <v>0</v>
      </c>
      <c r="E7" s="227">
        <f t="shared" si="0"/>
        <v>0</v>
      </c>
      <c r="F7" s="227">
        <f t="shared" si="0"/>
        <v>23697</v>
      </c>
      <c r="G7" s="227">
        <f t="shared" si="0"/>
        <v>0</v>
      </c>
      <c r="H7" s="227">
        <f t="shared" si="0"/>
        <v>23697</v>
      </c>
      <c r="I7" s="227">
        <f t="shared" si="0"/>
        <v>0</v>
      </c>
      <c r="J7" s="227">
        <f t="shared" si="0"/>
        <v>0</v>
      </c>
    </row>
    <row r="8" spans="1:11" ht="48.75" customHeight="1">
      <c r="A8" s="322" t="s">
        <v>414</v>
      </c>
      <c r="B8" s="406">
        <v>6010</v>
      </c>
      <c r="C8" s="227">
        <f>SUM(C9:C13)</f>
        <v>0</v>
      </c>
      <c r="D8" s="227">
        <f>SUM(D9:D13)</f>
        <v>0</v>
      </c>
      <c r="E8" s="227">
        <f t="shared" ref="E8:E9" si="1">D8</f>
        <v>0</v>
      </c>
      <c r="F8" s="227">
        <f>SUM(G8:J8)</f>
        <v>23697</v>
      </c>
      <c r="G8" s="227">
        <f>SUM(G9:G13)</f>
        <v>0</v>
      </c>
      <c r="H8" s="227">
        <f>SUM(H9:H13)</f>
        <v>23697</v>
      </c>
      <c r="I8" s="227">
        <f>SUM(I9:I13)</f>
        <v>0</v>
      </c>
      <c r="J8" s="227">
        <f>SUM(J9:J13)</f>
        <v>0</v>
      </c>
    </row>
    <row r="9" spans="1:11" ht="33.75" hidden="1" customHeight="1">
      <c r="A9" s="457" t="s">
        <v>571</v>
      </c>
      <c r="B9" s="2"/>
      <c r="C9" s="318"/>
      <c r="D9" s="350"/>
      <c r="E9" s="350">
        <f t="shared" si="1"/>
        <v>0</v>
      </c>
      <c r="F9" s="350">
        <f t="shared" ref="F9:F13" si="2">SUM(G9:J9)</f>
        <v>0</v>
      </c>
      <c r="G9" s="350"/>
      <c r="H9" s="350"/>
      <c r="I9" s="351"/>
      <c r="J9" s="351"/>
    </row>
    <row r="10" spans="1:11" ht="30.75" hidden="1" customHeight="1">
      <c r="A10" s="457" t="s">
        <v>455</v>
      </c>
      <c r="B10" s="2"/>
      <c r="C10" s="318"/>
      <c r="D10" s="350"/>
      <c r="E10" s="350"/>
      <c r="F10" s="350">
        <f t="shared" si="2"/>
        <v>0</v>
      </c>
      <c r="G10" s="350"/>
      <c r="H10" s="350"/>
      <c r="I10" s="351"/>
      <c r="J10" s="351"/>
    </row>
    <row r="11" spans="1:11" ht="30.75" hidden="1" customHeight="1">
      <c r="A11" s="457" t="s">
        <v>435</v>
      </c>
      <c r="B11" s="2"/>
      <c r="C11" s="318"/>
      <c r="D11" s="350"/>
      <c r="E11" s="350"/>
      <c r="F11" s="350">
        <f t="shared" si="2"/>
        <v>0</v>
      </c>
      <c r="G11" s="350"/>
      <c r="H11" s="350"/>
      <c r="I11" s="351"/>
      <c r="J11" s="351"/>
    </row>
    <row r="12" spans="1:11" ht="30.75" hidden="1" customHeight="1">
      <c r="A12" s="457" t="s">
        <v>434</v>
      </c>
      <c r="B12" s="2"/>
      <c r="C12" s="318"/>
      <c r="D12" s="350"/>
      <c r="E12" s="350"/>
      <c r="F12" s="350">
        <f t="shared" si="2"/>
        <v>0</v>
      </c>
      <c r="G12" s="350"/>
      <c r="H12" s="350"/>
      <c r="I12" s="351"/>
      <c r="J12" s="351"/>
    </row>
    <row r="13" spans="1:11" ht="36" customHeight="1">
      <c r="A13" s="458" t="s">
        <v>686</v>
      </c>
      <c r="B13" s="2"/>
      <c r="C13" s="350"/>
      <c r="D13" s="350"/>
      <c r="E13" s="350"/>
      <c r="F13" s="350">
        <f t="shared" si="2"/>
        <v>23697</v>
      </c>
      <c r="G13" s="350"/>
      <c r="H13" s="350">
        <v>23697</v>
      </c>
      <c r="I13" s="351"/>
      <c r="J13" s="351"/>
    </row>
    <row r="14" spans="1:11" ht="48" customHeight="1">
      <c r="A14" s="52"/>
      <c r="C14" s="15"/>
      <c r="D14" s="51"/>
      <c r="E14" s="51"/>
      <c r="F14" s="51"/>
      <c r="G14" s="51"/>
      <c r="H14" s="51"/>
    </row>
    <row r="15" spans="1:11" s="158" customFormat="1" ht="26.25" customHeight="1">
      <c r="A15" s="329" t="s">
        <v>519</v>
      </c>
      <c r="B15" s="330"/>
      <c r="C15" s="541" t="s">
        <v>84</v>
      </c>
      <c r="D15" s="541"/>
      <c r="E15" s="541"/>
      <c r="F15" s="331"/>
      <c r="G15" s="536" t="s">
        <v>657</v>
      </c>
      <c r="H15" s="536"/>
      <c r="I15" s="536"/>
      <c r="J15" s="536"/>
      <c r="K15" s="459"/>
    </row>
    <row r="16" spans="1:11" s="174" customFormat="1" ht="15.6">
      <c r="A16" s="334" t="s">
        <v>365</v>
      </c>
      <c r="C16" s="537" t="s">
        <v>405</v>
      </c>
      <c r="D16" s="537"/>
      <c r="E16" s="537"/>
      <c r="G16" s="763" t="s">
        <v>82</v>
      </c>
      <c r="H16" s="763"/>
      <c r="I16" s="763"/>
      <c r="J16" s="763"/>
    </row>
    <row r="17" spans="1:10">
      <c r="A17" s="52"/>
      <c r="C17" s="15"/>
      <c r="D17" s="51"/>
      <c r="E17" s="51"/>
      <c r="F17" s="51" t="s">
        <v>456</v>
      </c>
      <c r="G17" s="51"/>
      <c r="H17" s="51"/>
    </row>
    <row r="18" spans="1:10">
      <c r="A18" s="52"/>
      <c r="C18" s="15"/>
      <c r="D18" s="51"/>
      <c r="E18" s="51"/>
      <c r="F18" s="51"/>
      <c r="G18" s="51"/>
      <c r="H18" s="51"/>
    </row>
    <row r="19" spans="1:10" ht="25.5" customHeight="1">
      <c r="A19" s="52"/>
      <c r="C19" s="15"/>
      <c r="D19" s="51"/>
      <c r="E19" s="51"/>
      <c r="F19" s="51"/>
      <c r="G19" s="51"/>
      <c r="H19" s="51"/>
    </row>
    <row r="20" spans="1:10" s="159" customFormat="1" ht="37.5" customHeight="1">
      <c r="A20" s="762"/>
      <c r="B20" s="762"/>
      <c r="C20" s="460"/>
      <c r="D20" s="461"/>
      <c r="E20" s="461"/>
      <c r="F20" s="461"/>
      <c r="G20" s="461"/>
      <c r="H20" s="541"/>
      <c r="I20" s="541"/>
      <c r="J20" s="158"/>
    </row>
    <row r="21" spans="1:10">
      <c r="A21" s="52"/>
      <c r="C21" s="15"/>
      <c r="D21" s="51"/>
      <c r="E21" s="51"/>
      <c r="F21" s="51"/>
      <c r="G21" s="51"/>
      <c r="H21" s="51"/>
    </row>
    <row r="22" spans="1:10">
      <c r="A22" s="52"/>
      <c r="C22" s="15"/>
      <c r="D22" s="51"/>
      <c r="E22" s="51"/>
      <c r="F22" s="51"/>
      <c r="G22" s="51"/>
      <c r="H22" s="51"/>
    </row>
    <row r="23" spans="1:10">
      <c r="A23" s="52"/>
      <c r="C23" s="15"/>
      <c r="D23" s="51"/>
      <c r="E23" s="51"/>
      <c r="F23" s="51"/>
      <c r="G23" s="51"/>
      <c r="H23" s="51"/>
    </row>
    <row r="24" spans="1:10">
      <c r="A24" s="52"/>
      <c r="C24" s="15"/>
      <c r="D24" s="51"/>
      <c r="E24" s="51"/>
      <c r="F24" s="51"/>
      <c r="G24" s="51"/>
      <c r="H24" s="51"/>
    </row>
    <row r="25" spans="1:10">
      <c r="A25" s="52"/>
      <c r="C25" s="15"/>
      <c r="D25" s="51"/>
      <c r="E25" s="51"/>
      <c r="F25" s="51"/>
      <c r="G25" s="51"/>
      <c r="H25" s="51"/>
    </row>
    <row r="26" spans="1:10">
      <c r="A26" s="52"/>
      <c r="C26" s="15"/>
      <c r="D26" s="51"/>
      <c r="E26" s="51"/>
      <c r="F26" s="51"/>
      <c r="G26" s="51"/>
      <c r="H26" s="51"/>
    </row>
    <row r="27" spans="1:10">
      <c r="A27" s="52"/>
      <c r="C27" s="15"/>
      <c r="D27" s="51"/>
      <c r="E27" s="51"/>
      <c r="F27" s="51"/>
      <c r="G27" s="51"/>
      <c r="H27" s="51"/>
    </row>
    <row r="28" spans="1:10">
      <c r="A28" s="52"/>
      <c r="C28" s="15"/>
      <c r="D28" s="51"/>
      <c r="E28" s="51"/>
      <c r="F28" s="51"/>
      <c r="G28" s="51"/>
      <c r="H28" s="51"/>
    </row>
    <row r="29" spans="1:10">
      <c r="A29" s="52"/>
      <c r="C29" s="15"/>
      <c r="D29" s="51"/>
      <c r="E29" s="51"/>
      <c r="F29" s="51"/>
      <c r="G29" s="51"/>
      <c r="H29" s="51"/>
    </row>
    <row r="30" spans="1:10">
      <c r="A30" s="52"/>
      <c r="C30" s="15"/>
      <c r="D30" s="51"/>
      <c r="E30" s="51"/>
      <c r="F30" s="51"/>
      <c r="G30" s="51"/>
      <c r="H30" s="51"/>
    </row>
    <row r="31" spans="1:10">
      <c r="A31" s="52"/>
      <c r="C31" s="15"/>
      <c r="D31" s="51"/>
      <c r="E31" s="51"/>
      <c r="F31" s="51"/>
      <c r="G31" s="51"/>
      <c r="H31" s="51"/>
    </row>
    <row r="32" spans="1:10">
      <c r="A32" s="52"/>
      <c r="C32" s="15"/>
      <c r="D32" s="51"/>
      <c r="E32" s="51"/>
      <c r="F32" s="51"/>
      <c r="G32" s="51"/>
      <c r="H32" s="51"/>
    </row>
    <row r="33" spans="1:8">
      <c r="A33" s="52"/>
      <c r="C33" s="15"/>
      <c r="D33" s="51"/>
      <c r="E33" s="51"/>
      <c r="F33" s="51"/>
      <c r="G33" s="51"/>
      <c r="H33" s="51"/>
    </row>
    <row r="34" spans="1:8">
      <c r="A34" s="52"/>
      <c r="C34" s="15"/>
      <c r="D34" s="51"/>
      <c r="E34" s="51"/>
      <c r="F34" s="51"/>
      <c r="G34" s="51"/>
      <c r="H34" s="51"/>
    </row>
    <row r="35" spans="1:8">
      <c r="A35" s="52"/>
      <c r="C35" s="15"/>
      <c r="D35" s="51"/>
      <c r="E35" s="51"/>
      <c r="F35" s="51"/>
      <c r="G35" s="51"/>
      <c r="H35" s="51"/>
    </row>
    <row r="36" spans="1:8">
      <c r="A36" s="52"/>
      <c r="C36" s="15"/>
      <c r="D36" s="51"/>
      <c r="E36" s="51"/>
      <c r="F36" s="51"/>
      <c r="G36" s="51"/>
      <c r="H36" s="51"/>
    </row>
    <row r="37" spans="1:8">
      <c r="A37" s="52"/>
      <c r="C37" s="15"/>
      <c r="D37" s="51"/>
      <c r="E37" s="51"/>
      <c r="F37" s="51"/>
      <c r="G37" s="51"/>
      <c r="H37" s="51"/>
    </row>
    <row r="38" spans="1:8">
      <c r="A38" s="52"/>
      <c r="C38" s="15"/>
      <c r="D38" s="51"/>
      <c r="E38" s="51"/>
      <c r="F38" s="51"/>
      <c r="G38" s="51"/>
      <c r="H38" s="51"/>
    </row>
    <row r="39" spans="1:8">
      <c r="A39" s="52"/>
      <c r="C39" s="15"/>
      <c r="D39" s="51"/>
      <c r="E39" s="51"/>
      <c r="F39" s="51"/>
      <c r="G39" s="51"/>
      <c r="H39" s="51"/>
    </row>
    <row r="40" spans="1:8">
      <c r="A40" s="52"/>
      <c r="C40" s="15"/>
      <c r="D40" s="51"/>
      <c r="E40" s="51"/>
      <c r="F40" s="51"/>
      <c r="G40" s="51"/>
      <c r="H40" s="51"/>
    </row>
    <row r="41" spans="1:8">
      <c r="A41" s="52"/>
      <c r="C41" s="15"/>
      <c r="D41" s="51"/>
      <c r="E41" s="51"/>
      <c r="F41" s="51"/>
      <c r="G41" s="51"/>
      <c r="H41" s="51"/>
    </row>
    <row r="42" spans="1:8">
      <c r="A42" s="52"/>
      <c r="C42" s="15"/>
      <c r="D42" s="51"/>
      <c r="E42" s="51"/>
      <c r="F42" s="51"/>
      <c r="G42" s="51"/>
      <c r="H42" s="51"/>
    </row>
    <row r="43" spans="1:8">
      <c r="A43" s="52"/>
      <c r="C43" s="15"/>
      <c r="D43" s="51"/>
      <c r="E43" s="51"/>
      <c r="F43" s="51"/>
      <c r="G43" s="51"/>
      <c r="H43" s="51"/>
    </row>
    <row r="44" spans="1:8">
      <c r="A44" s="52"/>
      <c r="C44" s="15"/>
      <c r="D44" s="51"/>
      <c r="E44" s="51"/>
      <c r="F44" s="51"/>
      <c r="G44" s="51"/>
      <c r="H44" s="51"/>
    </row>
    <row r="45" spans="1:8">
      <c r="A45" s="52"/>
      <c r="C45" s="15"/>
      <c r="D45" s="51"/>
      <c r="E45" s="51"/>
      <c r="F45" s="51"/>
      <c r="G45" s="51"/>
      <c r="H45" s="51"/>
    </row>
    <row r="46" spans="1:8">
      <c r="A46" s="52"/>
      <c r="C46" s="15"/>
      <c r="D46" s="51"/>
      <c r="E46" s="51"/>
      <c r="F46" s="51"/>
      <c r="G46" s="51"/>
      <c r="H46" s="51"/>
    </row>
    <row r="47" spans="1:8">
      <c r="A47" s="52"/>
      <c r="C47" s="15"/>
      <c r="D47" s="51"/>
      <c r="E47" s="51"/>
      <c r="F47" s="51"/>
      <c r="G47" s="51"/>
      <c r="H47" s="51"/>
    </row>
    <row r="48" spans="1:8">
      <c r="A48" s="52"/>
      <c r="C48" s="15"/>
      <c r="D48" s="51"/>
      <c r="E48" s="51"/>
      <c r="F48" s="51"/>
      <c r="G48" s="51"/>
      <c r="H48" s="51"/>
    </row>
    <row r="49" spans="1:8">
      <c r="A49" s="52"/>
      <c r="C49" s="15"/>
      <c r="D49" s="51"/>
      <c r="E49" s="51"/>
      <c r="F49" s="51"/>
      <c r="G49" s="51"/>
      <c r="H49" s="51"/>
    </row>
    <row r="50" spans="1:8">
      <c r="A50" s="52"/>
      <c r="C50" s="15"/>
      <c r="D50" s="51"/>
      <c r="E50" s="51"/>
      <c r="F50" s="51"/>
      <c r="G50" s="51"/>
      <c r="H50" s="51"/>
    </row>
    <row r="51" spans="1:8">
      <c r="A51" s="52"/>
      <c r="C51" s="15"/>
      <c r="D51" s="51"/>
      <c r="E51" s="51"/>
      <c r="F51" s="51"/>
      <c r="G51" s="51"/>
      <c r="H51" s="51"/>
    </row>
    <row r="52" spans="1:8">
      <c r="A52" s="52"/>
      <c r="C52" s="15"/>
      <c r="D52" s="51"/>
      <c r="E52" s="51"/>
      <c r="F52" s="51"/>
      <c r="G52" s="51"/>
      <c r="H52" s="51"/>
    </row>
    <row r="53" spans="1:8">
      <c r="A53" s="52"/>
      <c r="C53" s="15"/>
      <c r="D53" s="51"/>
      <c r="E53" s="51"/>
      <c r="F53" s="51"/>
      <c r="G53" s="51"/>
      <c r="H53" s="51"/>
    </row>
    <row r="54" spans="1:8">
      <c r="A54" s="52"/>
      <c r="C54" s="15"/>
      <c r="D54" s="51"/>
      <c r="E54" s="51"/>
      <c r="F54" s="51"/>
      <c r="G54" s="51"/>
      <c r="H54" s="51"/>
    </row>
    <row r="55" spans="1:8">
      <c r="A55" s="52"/>
      <c r="C55" s="15"/>
      <c r="D55" s="51"/>
      <c r="E55" s="51"/>
      <c r="F55" s="51"/>
      <c r="G55" s="51"/>
      <c r="H55" s="51"/>
    </row>
    <row r="56" spans="1:8">
      <c r="A56" s="52"/>
      <c r="C56" s="15"/>
      <c r="D56" s="51"/>
      <c r="E56" s="51"/>
      <c r="F56" s="51"/>
      <c r="G56" s="51"/>
      <c r="H56" s="51"/>
    </row>
    <row r="57" spans="1:8">
      <c r="A57" s="52"/>
      <c r="C57" s="15"/>
      <c r="D57" s="51"/>
      <c r="E57" s="51"/>
      <c r="F57" s="51"/>
      <c r="G57" s="51"/>
      <c r="H57" s="51"/>
    </row>
    <row r="58" spans="1:8">
      <c r="A58" s="52"/>
      <c r="C58" s="15"/>
      <c r="D58" s="51"/>
      <c r="E58" s="51"/>
      <c r="F58" s="51"/>
      <c r="G58" s="51"/>
      <c r="H58" s="51"/>
    </row>
    <row r="59" spans="1:8">
      <c r="A59" s="52"/>
      <c r="C59" s="15"/>
      <c r="D59" s="51"/>
      <c r="E59" s="51"/>
      <c r="F59" s="51"/>
      <c r="G59" s="51"/>
      <c r="H59" s="51"/>
    </row>
    <row r="60" spans="1:8">
      <c r="A60" s="52"/>
      <c r="C60" s="15"/>
      <c r="D60" s="51"/>
      <c r="E60" s="51"/>
      <c r="F60" s="51"/>
      <c r="G60" s="51"/>
      <c r="H60" s="51"/>
    </row>
    <row r="61" spans="1:8">
      <c r="A61" s="52"/>
      <c r="C61" s="15"/>
      <c r="D61" s="51"/>
      <c r="E61" s="51"/>
      <c r="F61" s="51"/>
      <c r="G61" s="51"/>
      <c r="H61" s="51"/>
    </row>
    <row r="62" spans="1:8">
      <c r="A62" s="52"/>
      <c r="C62" s="15"/>
      <c r="D62" s="51"/>
      <c r="E62" s="51"/>
      <c r="F62" s="51"/>
      <c r="G62" s="51"/>
      <c r="H62" s="51"/>
    </row>
    <row r="63" spans="1:8">
      <c r="A63" s="52"/>
      <c r="C63" s="15"/>
      <c r="D63" s="51"/>
      <c r="E63" s="51"/>
      <c r="F63" s="51"/>
      <c r="G63" s="51"/>
      <c r="H63" s="51"/>
    </row>
    <row r="64" spans="1:8">
      <c r="A64" s="52"/>
      <c r="C64" s="15"/>
      <c r="D64" s="51"/>
      <c r="E64" s="51"/>
      <c r="F64" s="51"/>
      <c r="G64" s="51"/>
      <c r="H64" s="51"/>
    </row>
    <row r="65" spans="1:8">
      <c r="A65" s="52"/>
      <c r="C65" s="15"/>
      <c r="D65" s="51"/>
      <c r="E65" s="51"/>
      <c r="F65" s="51"/>
      <c r="G65" s="51"/>
      <c r="H65" s="51"/>
    </row>
    <row r="66" spans="1:8">
      <c r="A66" s="52"/>
      <c r="C66" s="15"/>
      <c r="D66" s="51"/>
      <c r="E66" s="51"/>
      <c r="F66" s="51"/>
      <c r="G66" s="51"/>
      <c r="H66" s="51"/>
    </row>
    <row r="67" spans="1:8">
      <c r="A67" s="52"/>
      <c r="C67" s="15"/>
      <c r="D67" s="51"/>
      <c r="E67" s="51"/>
      <c r="F67" s="51"/>
      <c r="G67" s="51"/>
      <c r="H67" s="51"/>
    </row>
    <row r="68" spans="1:8">
      <c r="A68" s="52"/>
      <c r="C68" s="15"/>
      <c r="D68" s="51"/>
      <c r="E68" s="51"/>
      <c r="F68" s="51"/>
      <c r="G68" s="51"/>
      <c r="H68" s="51"/>
    </row>
    <row r="69" spans="1:8">
      <c r="A69" s="52"/>
      <c r="C69" s="15"/>
      <c r="D69" s="51"/>
      <c r="E69" s="51"/>
      <c r="F69" s="51"/>
      <c r="G69" s="51"/>
      <c r="H69" s="51"/>
    </row>
    <row r="70" spans="1:8">
      <c r="A70" s="52"/>
      <c r="C70" s="15"/>
      <c r="D70" s="51"/>
      <c r="E70" s="51"/>
      <c r="F70" s="51"/>
      <c r="G70" s="51"/>
      <c r="H70" s="51"/>
    </row>
    <row r="71" spans="1:8">
      <c r="A71" s="52"/>
      <c r="C71" s="15"/>
      <c r="D71" s="51"/>
      <c r="E71" s="51"/>
      <c r="F71" s="51"/>
      <c r="G71" s="51"/>
      <c r="H71" s="51"/>
    </row>
    <row r="72" spans="1:8">
      <c r="A72" s="52"/>
    </row>
    <row r="73" spans="1:8">
      <c r="A73" s="53"/>
    </row>
    <row r="74" spans="1:8">
      <c r="A74" s="53"/>
    </row>
    <row r="75" spans="1:8">
      <c r="A75" s="53"/>
    </row>
    <row r="76" spans="1:8">
      <c r="A76" s="53"/>
    </row>
    <row r="77" spans="1:8">
      <c r="A77" s="53"/>
    </row>
    <row r="78" spans="1:8">
      <c r="A78" s="53"/>
    </row>
    <row r="79" spans="1:8">
      <c r="A79" s="53"/>
    </row>
    <row r="80" spans="1:8">
      <c r="A80" s="53"/>
    </row>
    <row r="81" spans="1:1">
      <c r="A81" s="53"/>
    </row>
    <row r="82" spans="1:1">
      <c r="A82" s="53"/>
    </row>
    <row r="83" spans="1:1">
      <c r="A83" s="53"/>
    </row>
    <row r="84" spans="1:1">
      <c r="A84" s="53"/>
    </row>
    <row r="85" spans="1:1">
      <c r="A85" s="53"/>
    </row>
    <row r="86" spans="1:1">
      <c r="A86" s="53"/>
    </row>
    <row r="87" spans="1:1">
      <c r="A87" s="53"/>
    </row>
    <row r="88" spans="1:1">
      <c r="A88" s="53"/>
    </row>
    <row r="89" spans="1:1">
      <c r="A89" s="53"/>
    </row>
    <row r="90" spans="1:1">
      <c r="A90" s="53"/>
    </row>
    <row r="91" spans="1:1">
      <c r="A91" s="53"/>
    </row>
    <row r="92" spans="1:1">
      <c r="A92" s="53"/>
    </row>
    <row r="93" spans="1:1">
      <c r="A93" s="53"/>
    </row>
    <row r="94" spans="1:1">
      <c r="A94" s="53"/>
    </row>
    <row r="95" spans="1:1">
      <c r="A95" s="53"/>
    </row>
    <row r="96" spans="1:1">
      <c r="A96" s="53"/>
    </row>
    <row r="97" spans="1:1">
      <c r="A97" s="53"/>
    </row>
    <row r="98" spans="1:1">
      <c r="A98" s="53"/>
    </row>
    <row r="99" spans="1:1">
      <c r="A99" s="53"/>
    </row>
    <row r="100" spans="1:1">
      <c r="A100" s="53"/>
    </row>
    <row r="101" spans="1:1">
      <c r="A101" s="53"/>
    </row>
    <row r="102" spans="1:1">
      <c r="A102" s="53"/>
    </row>
    <row r="103" spans="1:1">
      <c r="A103" s="53"/>
    </row>
    <row r="104" spans="1:1">
      <c r="A104" s="53"/>
    </row>
    <row r="105" spans="1:1">
      <c r="A105" s="53"/>
    </row>
    <row r="106" spans="1:1">
      <c r="A106" s="53"/>
    </row>
    <row r="107" spans="1:1">
      <c r="A107" s="53"/>
    </row>
    <row r="108" spans="1:1">
      <c r="A108" s="53"/>
    </row>
    <row r="109" spans="1:1">
      <c r="A109" s="53"/>
    </row>
    <row r="110" spans="1:1">
      <c r="A110" s="53"/>
    </row>
    <row r="111" spans="1:1">
      <c r="A111" s="53"/>
    </row>
    <row r="112" spans="1:1">
      <c r="A112" s="53"/>
    </row>
    <row r="113" spans="1:1">
      <c r="A113" s="53"/>
    </row>
    <row r="114" spans="1:1">
      <c r="A114" s="53"/>
    </row>
    <row r="115" spans="1:1">
      <c r="A115" s="53"/>
    </row>
    <row r="116" spans="1:1">
      <c r="A116" s="53"/>
    </row>
    <row r="117" spans="1:1">
      <c r="A117" s="53"/>
    </row>
    <row r="118" spans="1:1">
      <c r="A118" s="53"/>
    </row>
    <row r="119" spans="1:1">
      <c r="A119" s="53"/>
    </row>
    <row r="120" spans="1:1">
      <c r="A120" s="53"/>
    </row>
    <row r="121" spans="1:1">
      <c r="A121" s="53"/>
    </row>
    <row r="122" spans="1:1">
      <c r="A122" s="53"/>
    </row>
    <row r="123" spans="1:1">
      <c r="A123" s="53"/>
    </row>
    <row r="124" spans="1:1">
      <c r="A124" s="53"/>
    </row>
    <row r="125" spans="1:1">
      <c r="A125" s="53"/>
    </row>
    <row r="126" spans="1:1">
      <c r="A126" s="53"/>
    </row>
    <row r="127" spans="1:1">
      <c r="A127" s="53"/>
    </row>
    <row r="128" spans="1:1">
      <c r="A128" s="53"/>
    </row>
    <row r="129" spans="1:1">
      <c r="A129" s="53"/>
    </row>
    <row r="130" spans="1:1">
      <c r="A130" s="53"/>
    </row>
    <row r="131" spans="1:1">
      <c r="A131" s="53"/>
    </row>
    <row r="132" spans="1:1">
      <c r="A132" s="53"/>
    </row>
    <row r="133" spans="1:1">
      <c r="A133" s="53"/>
    </row>
    <row r="134" spans="1:1">
      <c r="A134" s="53"/>
    </row>
    <row r="135" spans="1:1">
      <c r="A135" s="53"/>
    </row>
    <row r="136" spans="1:1">
      <c r="A136" s="53"/>
    </row>
    <row r="137" spans="1:1">
      <c r="A137" s="53"/>
    </row>
    <row r="138" spans="1:1">
      <c r="A138" s="53"/>
    </row>
    <row r="139" spans="1:1">
      <c r="A139" s="53"/>
    </row>
    <row r="140" spans="1:1">
      <c r="A140" s="53"/>
    </row>
    <row r="141" spans="1:1">
      <c r="A141" s="53"/>
    </row>
    <row r="142" spans="1:1">
      <c r="A142" s="53"/>
    </row>
    <row r="143" spans="1:1">
      <c r="A143" s="53"/>
    </row>
    <row r="144" spans="1:1">
      <c r="A144" s="53"/>
    </row>
    <row r="145" spans="1:1">
      <c r="A145" s="53"/>
    </row>
    <row r="146" spans="1:1">
      <c r="A146" s="53"/>
    </row>
    <row r="147" spans="1:1">
      <c r="A147" s="53"/>
    </row>
    <row r="148" spans="1:1">
      <c r="A148" s="53"/>
    </row>
    <row r="149" spans="1:1">
      <c r="A149" s="53"/>
    </row>
    <row r="150" spans="1:1">
      <c r="A150" s="53"/>
    </row>
    <row r="151" spans="1:1">
      <c r="A151" s="53"/>
    </row>
    <row r="152" spans="1:1">
      <c r="A152" s="53"/>
    </row>
    <row r="153" spans="1:1">
      <c r="A153" s="53"/>
    </row>
    <row r="154" spans="1:1">
      <c r="A154" s="53"/>
    </row>
    <row r="155" spans="1:1">
      <c r="A155" s="53"/>
    </row>
    <row r="156" spans="1:1">
      <c r="A156" s="53"/>
    </row>
    <row r="157" spans="1:1">
      <c r="A157" s="53"/>
    </row>
    <row r="158" spans="1:1">
      <c r="A158" s="53"/>
    </row>
    <row r="159" spans="1:1">
      <c r="A159" s="53"/>
    </row>
    <row r="160" spans="1:1">
      <c r="A160" s="53"/>
    </row>
    <row r="161" spans="1:1">
      <c r="A161" s="53"/>
    </row>
    <row r="162" spans="1:1">
      <c r="A162" s="53"/>
    </row>
    <row r="163" spans="1:1">
      <c r="A163" s="53"/>
    </row>
    <row r="164" spans="1:1">
      <c r="A164" s="53"/>
    </row>
    <row r="165" spans="1:1">
      <c r="A165" s="53"/>
    </row>
    <row r="166" spans="1:1">
      <c r="A166" s="53"/>
    </row>
    <row r="167" spans="1:1">
      <c r="A167" s="53"/>
    </row>
    <row r="168" spans="1:1">
      <c r="A168" s="53"/>
    </row>
    <row r="169" spans="1:1">
      <c r="A169" s="53"/>
    </row>
    <row r="170" spans="1:1">
      <c r="A170" s="53"/>
    </row>
    <row r="171" spans="1:1">
      <c r="A171" s="53"/>
    </row>
    <row r="172" spans="1:1">
      <c r="A172" s="53"/>
    </row>
    <row r="173" spans="1:1">
      <c r="A173" s="53"/>
    </row>
    <row r="174" spans="1:1">
      <c r="A174" s="53"/>
    </row>
    <row r="175" spans="1:1">
      <c r="A175" s="53"/>
    </row>
    <row r="176" spans="1:1">
      <c r="A176" s="53"/>
    </row>
    <row r="177" spans="1:1">
      <c r="A177" s="53"/>
    </row>
    <row r="178" spans="1:1">
      <c r="A178" s="53"/>
    </row>
    <row r="179" spans="1:1">
      <c r="A179" s="53"/>
    </row>
    <row r="180" spans="1:1">
      <c r="A180" s="53"/>
    </row>
    <row r="181" spans="1:1">
      <c r="A181" s="53"/>
    </row>
    <row r="182" spans="1:1">
      <c r="A182" s="53"/>
    </row>
    <row r="183" spans="1:1">
      <c r="A183" s="53"/>
    </row>
    <row r="184" spans="1:1">
      <c r="A184" s="53"/>
    </row>
    <row r="185" spans="1:1">
      <c r="A185" s="53"/>
    </row>
    <row r="186" spans="1:1">
      <c r="A186" s="53"/>
    </row>
    <row r="187" spans="1:1">
      <c r="A187" s="53"/>
    </row>
    <row r="188" spans="1:1">
      <c r="A188" s="53"/>
    </row>
    <row r="189" spans="1:1">
      <c r="A189" s="53"/>
    </row>
    <row r="190" spans="1:1">
      <c r="A190" s="53"/>
    </row>
    <row r="191" spans="1:1">
      <c r="A191" s="53"/>
    </row>
    <row r="192" spans="1:1">
      <c r="A192" s="53"/>
    </row>
    <row r="193" spans="1:1">
      <c r="A193" s="53"/>
    </row>
    <row r="194" spans="1:1">
      <c r="A194" s="53"/>
    </row>
    <row r="195" spans="1:1">
      <c r="A195" s="53"/>
    </row>
    <row r="196" spans="1:1">
      <c r="A196" s="53"/>
    </row>
    <row r="197" spans="1:1">
      <c r="A197" s="53"/>
    </row>
    <row r="198" spans="1:1">
      <c r="A198" s="53"/>
    </row>
    <row r="199" spans="1:1">
      <c r="A199" s="53"/>
    </row>
    <row r="200" spans="1:1">
      <c r="A200" s="53"/>
    </row>
    <row r="201" spans="1:1">
      <c r="A201" s="53"/>
    </row>
    <row r="202" spans="1:1">
      <c r="A202" s="53"/>
    </row>
    <row r="203" spans="1:1">
      <c r="A203" s="53"/>
    </row>
    <row r="204" spans="1:1">
      <c r="A204" s="53"/>
    </row>
    <row r="205" spans="1:1">
      <c r="A205" s="53"/>
    </row>
    <row r="206" spans="1:1">
      <c r="A206" s="53"/>
    </row>
    <row r="207" spans="1:1">
      <c r="A207" s="53"/>
    </row>
    <row r="208" spans="1:1">
      <c r="A208" s="53"/>
    </row>
    <row r="209" spans="1:1">
      <c r="A209" s="53"/>
    </row>
    <row r="210" spans="1:1">
      <c r="A210" s="53"/>
    </row>
    <row r="211" spans="1:1">
      <c r="A211" s="53"/>
    </row>
    <row r="212" spans="1:1">
      <c r="A212" s="53"/>
    </row>
    <row r="213" spans="1:1">
      <c r="A213" s="53"/>
    </row>
    <row r="214" spans="1:1">
      <c r="A214" s="53"/>
    </row>
    <row r="215" spans="1:1">
      <c r="A215" s="53"/>
    </row>
    <row r="216" spans="1:1">
      <c r="A216" s="53"/>
    </row>
    <row r="217" spans="1:1">
      <c r="A217" s="53"/>
    </row>
    <row r="218" spans="1:1">
      <c r="A218" s="53"/>
    </row>
    <row r="219" spans="1:1">
      <c r="A219" s="53"/>
    </row>
    <row r="220" spans="1:1">
      <c r="A220" s="53"/>
    </row>
    <row r="221" spans="1:1">
      <c r="A221" s="53"/>
    </row>
    <row r="222" spans="1:1">
      <c r="A222" s="53"/>
    </row>
    <row r="223" spans="1:1">
      <c r="A223" s="53"/>
    </row>
    <row r="224" spans="1:1">
      <c r="A224" s="53"/>
    </row>
    <row r="225" spans="1:1">
      <c r="A225" s="53"/>
    </row>
    <row r="226" spans="1:1">
      <c r="A226" s="53"/>
    </row>
    <row r="227" spans="1:1">
      <c r="A227" s="53"/>
    </row>
    <row r="228" spans="1:1">
      <c r="A228" s="53"/>
    </row>
    <row r="229" spans="1:1">
      <c r="A229" s="53"/>
    </row>
    <row r="230" spans="1:1">
      <c r="A230" s="53"/>
    </row>
    <row r="231" spans="1:1">
      <c r="A231" s="53"/>
    </row>
    <row r="232" spans="1:1">
      <c r="A232" s="53"/>
    </row>
    <row r="233" spans="1:1">
      <c r="A233" s="53"/>
    </row>
    <row r="234" spans="1:1">
      <c r="A234" s="53"/>
    </row>
    <row r="235" spans="1:1">
      <c r="A235" s="53"/>
    </row>
    <row r="236" spans="1:1">
      <c r="A236" s="53"/>
    </row>
    <row r="237" spans="1:1">
      <c r="A237" s="53"/>
    </row>
    <row r="238" spans="1:1">
      <c r="A238" s="53"/>
    </row>
    <row r="239" spans="1:1">
      <c r="A239" s="53"/>
    </row>
  </sheetData>
  <sheetProtection algorithmName="SHA-512" hashValue="/VfhydwWfYppBvVgcaJMDjAVoh8CDWAiSIqyiVoPp/KRXXQHq1ujxxnphf5tcuKvJSaPat+IkeQaRSaIr5VSbg==" saltValue="bGzY9Af8kEpN/x4sW5Vpdw==" spinCount="100000" sheet="1" objects="1" scenarios="1" selectLockedCells="1" selectUnlockedCells="1"/>
  <mergeCells count="14">
    <mergeCell ref="A20:B20"/>
    <mergeCell ref="H20:I20"/>
    <mergeCell ref="G16:J16"/>
    <mergeCell ref="G15:J15"/>
    <mergeCell ref="C15:E15"/>
    <mergeCell ref="C16:E16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136"/>
  <sheetViews>
    <sheetView tabSelected="1" topLeftCell="T1" zoomScale="106" zoomScaleNormal="106" workbookViewId="0">
      <pane ySplit="22" topLeftCell="A78" activePane="bottomLeft" state="frozen"/>
      <selection pane="bottomLeft" activeCell="AD78" sqref="AD78"/>
    </sheetView>
  </sheetViews>
  <sheetFormatPr defaultRowHeight="13.2"/>
  <cols>
    <col min="1" max="1" width="8.6640625" customWidth="1"/>
    <col min="2" max="2" width="10.109375" customWidth="1"/>
    <col min="3" max="3" width="10" customWidth="1"/>
    <col min="4" max="4" width="11.44140625" customWidth="1"/>
    <col min="5" max="5" width="10.109375" customWidth="1"/>
    <col min="6" max="6" width="10.33203125" customWidth="1"/>
    <col min="7" max="7" width="10.5546875" customWidth="1"/>
    <col min="8" max="8" width="10.33203125" customWidth="1"/>
    <col min="9" max="9" width="10.109375" customWidth="1"/>
    <col min="10" max="10" width="8.88671875" customWidth="1"/>
    <col min="11" max="11" width="10" customWidth="1"/>
    <col min="12" max="12" width="8.5546875" customWidth="1"/>
    <col min="13" max="13" width="10.109375" customWidth="1"/>
    <col min="14" max="15" width="10.88671875" customWidth="1"/>
    <col min="16" max="16" width="10.44140625" customWidth="1"/>
    <col min="17" max="17" width="10.33203125" customWidth="1"/>
    <col min="18" max="18" width="8.6640625" customWidth="1"/>
    <col min="19" max="19" width="9.6640625" customWidth="1"/>
    <col min="20" max="20" width="9.88671875" customWidth="1"/>
    <col min="21" max="29" width="10" customWidth="1"/>
    <col min="30" max="30" width="11.44140625" customWidth="1"/>
    <col min="31" max="34" width="10" customWidth="1"/>
    <col min="35" max="35" width="10.88671875" customWidth="1"/>
    <col min="36" max="36" width="12.44140625" customWidth="1"/>
    <col min="37" max="37" width="13" customWidth="1"/>
    <col min="38" max="38" width="12" customWidth="1"/>
  </cols>
  <sheetData>
    <row r="1" spans="1:38" ht="13.8" thickBot="1">
      <c r="A1" s="783" t="s">
        <v>489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</row>
    <row r="2" spans="1:38" ht="34.5" customHeight="1" thickBot="1">
      <c r="A2" s="767" t="s">
        <v>46</v>
      </c>
      <c r="B2" s="769" t="s">
        <v>600</v>
      </c>
      <c r="C2" s="770"/>
      <c r="D2" s="771"/>
      <c r="E2" s="772" t="s">
        <v>501</v>
      </c>
      <c r="F2" s="773"/>
      <c r="G2" s="774"/>
      <c r="H2" s="772" t="s">
        <v>502</v>
      </c>
      <c r="I2" s="773"/>
      <c r="J2" s="774"/>
      <c r="K2" s="775" t="s">
        <v>503</v>
      </c>
      <c r="L2" s="776"/>
      <c r="M2" s="777"/>
      <c r="N2" s="778" t="s">
        <v>496</v>
      </c>
      <c r="O2" s="779"/>
      <c r="P2" s="780"/>
      <c r="Q2" s="775" t="s">
        <v>497</v>
      </c>
      <c r="R2" s="776"/>
      <c r="S2" s="777"/>
      <c r="T2" s="769" t="s">
        <v>498</v>
      </c>
      <c r="U2" s="770"/>
      <c r="V2" s="771"/>
      <c r="W2" s="775" t="s">
        <v>499</v>
      </c>
      <c r="X2" s="776"/>
      <c r="Y2" s="777"/>
      <c r="Z2" s="775" t="s">
        <v>500</v>
      </c>
      <c r="AA2" s="776"/>
      <c r="AB2" s="777"/>
      <c r="AC2" s="772" t="s">
        <v>504</v>
      </c>
      <c r="AD2" s="773"/>
      <c r="AE2" s="774"/>
      <c r="AF2" s="772" t="s">
        <v>598</v>
      </c>
      <c r="AG2" s="773"/>
      <c r="AH2" s="774"/>
      <c r="AI2" s="56"/>
      <c r="AJ2" s="764" t="s">
        <v>458</v>
      </c>
      <c r="AK2" s="765"/>
      <c r="AL2" s="766"/>
    </row>
    <row r="3" spans="1:38" ht="40.5" customHeight="1" thickBot="1">
      <c r="A3" s="768"/>
      <c r="B3" s="57" t="s">
        <v>459</v>
      </c>
      <c r="C3" s="58" t="s">
        <v>460</v>
      </c>
      <c r="D3" s="59" t="s">
        <v>461</v>
      </c>
      <c r="E3" s="59" t="s">
        <v>461</v>
      </c>
      <c r="F3" s="58" t="s">
        <v>459</v>
      </c>
      <c r="G3" s="60" t="s">
        <v>460</v>
      </c>
      <c r="H3" s="59" t="s">
        <v>461</v>
      </c>
      <c r="I3" s="58" t="s">
        <v>459</v>
      </c>
      <c r="J3" s="61" t="s">
        <v>460</v>
      </c>
      <c r="K3" s="58" t="s">
        <v>459</v>
      </c>
      <c r="L3" s="58" t="s">
        <v>460</v>
      </c>
      <c r="M3" s="62" t="s">
        <v>461</v>
      </c>
      <c r="N3" s="63" t="s">
        <v>459</v>
      </c>
      <c r="O3" s="63" t="s">
        <v>460</v>
      </c>
      <c r="P3" s="64" t="s">
        <v>461</v>
      </c>
      <c r="Q3" s="58" t="s">
        <v>459</v>
      </c>
      <c r="R3" s="58" t="s">
        <v>460</v>
      </c>
      <c r="S3" s="62" t="s">
        <v>461</v>
      </c>
      <c r="T3" s="58" t="s">
        <v>459</v>
      </c>
      <c r="U3" s="58" t="s">
        <v>460</v>
      </c>
      <c r="V3" s="62" t="s">
        <v>461</v>
      </c>
      <c r="W3" s="58" t="s">
        <v>459</v>
      </c>
      <c r="X3" s="58" t="s">
        <v>460</v>
      </c>
      <c r="Y3" s="62" t="s">
        <v>461</v>
      </c>
      <c r="Z3" s="58" t="s">
        <v>459</v>
      </c>
      <c r="AA3" s="58" t="s">
        <v>460</v>
      </c>
      <c r="AB3" s="62" t="s">
        <v>461</v>
      </c>
      <c r="AC3" s="59" t="s">
        <v>461</v>
      </c>
      <c r="AD3" s="58" t="s">
        <v>459</v>
      </c>
      <c r="AE3" s="61" t="s">
        <v>460</v>
      </c>
      <c r="AF3" s="58" t="s">
        <v>459</v>
      </c>
      <c r="AG3" s="58" t="s">
        <v>460</v>
      </c>
      <c r="AH3" s="62" t="s">
        <v>461</v>
      </c>
      <c r="AI3" s="65"/>
      <c r="AJ3" s="58" t="s">
        <v>459</v>
      </c>
      <c r="AK3" s="58" t="s">
        <v>460</v>
      </c>
      <c r="AL3" s="62" t="s">
        <v>461</v>
      </c>
    </row>
    <row r="4" spans="1:38" ht="13.8" thickBot="1">
      <c r="A4" s="71"/>
      <c r="B4" s="72">
        <f t="shared" ref="B4:AB4" si="0">B9+B22+B39+B56+B73+B90+B107+B124</f>
        <v>2791540</v>
      </c>
      <c r="C4" s="72">
        <f t="shared" si="0"/>
        <v>352732.28</v>
      </c>
      <c r="D4" s="72">
        <f t="shared" si="0"/>
        <v>3144272.28</v>
      </c>
      <c r="E4" s="72">
        <f t="shared" si="0"/>
        <v>2515230</v>
      </c>
      <c r="F4" s="72">
        <f t="shared" si="0"/>
        <v>2117069</v>
      </c>
      <c r="G4" s="72">
        <f t="shared" si="0"/>
        <v>398161</v>
      </c>
      <c r="H4" s="72">
        <f t="shared" si="0"/>
        <v>3185021.4</v>
      </c>
      <c r="I4" s="72">
        <f t="shared" si="0"/>
        <v>2680832</v>
      </c>
      <c r="J4" s="72">
        <f t="shared" si="0"/>
        <v>504189.4</v>
      </c>
      <c r="K4" s="72">
        <f t="shared" si="0"/>
        <v>2000000</v>
      </c>
      <c r="L4" s="72">
        <f t="shared" si="0"/>
        <v>139616.44</v>
      </c>
      <c r="M4" s="72">
        <f t="shared" si="0"/>
        <v>2139616.44</v>
      </c>
      <c r="N4" s="72">
        <f>N9+N22+N39+N56+N73+N90+N107+N124</f>
        <v>2750000</v>
      </c>
      <c r="O4" s="72">
        <f t="shared" si="0"/>
        <v>350136.66</v>
      </c>
      <c r="P4" s="72">
        <f t="shared" si="0"/>
        <v>3100136.66</v>
      </c>
      <c r="Q4" s="72">
        <f t="shared" si="0"/>
        <v>2000000</v>
      </c>
      <c r="R4" s="72">
        <f t="shared" si="0"/>
        <v>139616.44</v>
      </c>
      <c r="S4" s="72">
        <f t="shared" si="0"/>
        <v>2139616.44</v>
      </c>
      <c r="T4" s="72">
        <f t="shared" si="0"/>
        <v>5520000</v>
      </c>
      <c r="U4" s="72">
        <f t="shared" si="0"/>
        <v>1089167.1200000001</v>
      </c>
      <c r="V4" s="72">
        <f t="shared" si="0"/>
        <v>6609167.1200000001</v>
      </c>
      <c r="W4" s="72">
        <f t="shared" si="0"/>
        <v>2500000</v>
      </c>
      <c r="X4" s="72">
        <f t="shared" si="0"/>
        <v>62500.02</v>
      </c>
      <c r="Y4" s="72">
        <f t="shared" si="0"/>
        <v>2562500.02</v>
      </c>
      <c r="Z4" s="72">
        <f t="shared" si="0"/>
        <v>2000000</v>
      </c>
      <c r="AA4" s="72">
        <f t="shared" si="0"/>
        <v>119999.98</v>
      </c>
      <c r="AB4" s="72">
        <f t="shared" si="0"/>
        <v>2119999.98</v>
      </c>
      <c r="AC4" s="72">
        <f>AC9+AC22+AC39+AC56+AC73+AC90+AC107+AC124+AC128</f>
        <v>2289892.5499999998</v>
      </c>
      <c r="AD4" s="72">
        <f t="shared" ref="AD4:AE4" si="1">AD9+AD22+AD39+AD56+AD73+AD90+AD107+AD124+AD128</f>
        <v>1796244</v>
      </c>
      <c r="AE4" s="72">
        <f t="shared" si="1"/>
        <v>493648.55</v>
      </c>
      <c r="AF4" s="72">
        <f>AF73+AF90</f>
        <v>2500000</v>
      </c>
      <c r="AG4" s="72">
        <f t="shared" ref="AG4" si="2">AG73+AG90</f>
        <v>48886.98</v>
      </c>
      <c r="AH4" s="72">
        <f>AH73+AH90</f>
        <v>2548886.98</v>
      </c>
      <c r="AI4" s="73"/>
      <c r="AJ4" s="74"/>
      <c r="AK4" s="74"/>
      <c r="AL4" s="75"/>
    </row>
    <row r="5" spans="1:38" hidden="1">
      <c r="A5" s="76" t="s">
        <v>462</v>
      </c>
      <c r="B5" s="77">
        <v>46526</v>
      </c>
      <c r="C5" s="78">
        <v>9560.07</v>
      </c>
      <c r="D5" s="79">
        <f>B5+C5</f>
        <v>56086.07</v>
      </c>
      <c r="E5" s="80"/>
      <c r="F5" s="80"/>
      <c r="G5" s="81"/>
      <c r="H5" s="82"/>
      <c r="I5" s="80"/>
      <c r="J5" s="83"/>
      <c r="K5" s="84"/>
      <c r="L5" s="85"/>
      <c r="M5" s="81"/>
      <c r="N5" s="82"/>
      <c r="O5" s="80"/>
      <c r="P5" s="81"/>
      <c r="Q5" s="82"/>
      <c r="R5" s="80"/>
      <c r="S5" s="83"/>
      <c r="T5" s="86"/>
      <c r="U5" s="80"/>
      <c r="V5" s="81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76" t="s">
        <v>462</v>
      </c>
      <c r="AJ5" s="87"/>
      <c r="AK5" s="87"/>
      <c r="AL5" s="87"/>
    </row>
    <row r="6" spans="1:38" hidden="1">
      <c r="A6" s="88">
        <v>10</v>
      </c>
      <c r="B6" s="89">
        <v>46526</v>
      </c>
      <c r="C6" s="90">
        <v>11280.88</v>
      </c>
      <c r="D6" s="91">
        <f t="shared" ref="D6:D21" si="3">B6+C6</f>
        <v>57806.879999999997</v>
      </c>
      <c r="E6" s="92"/>
      <c r="F6" s="92"/>
      <c r="G6" s="93"/>
      <c r="H6" s="94"/>
      <c r="I6" s="92"/>
      <c r="J6" s="95"/>
      <c r="K6" s="96"/>
      <c r="L6" s="97"/>
      <c r="M6" s="93"/>
      <c r="N6" s="94"/>
      <c r="O6" s="92"/>
      <c r="P6" s="93"/>
      <c r="Q6" s="94"/>
      <c r="R6" s="92"/>
      <c r="S6" s="95"/>
      <c r="T6" s="98"/>
      <c r="U6" s="92"/>
      <c r="V6" s="93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88">
        <v>10</v>
      </c>
      <c r="AJ6" s="87"/>
      <c r="AK6" s="87"/>
      <c r="AL6" s="87"/>
    </row>
    <row r="7" spans="1:38" hidden="1">
      <c r="A7" s="88">
        <v>11</v>
      </c>
      <c r="B7" s="89">
        <v>46526</v>
      </c>
      <c r="C7" s="90">
        <v>11459.33</v>
      </c>
      <c r="D7" s="91">
        <f t="shared" si="3"/>
        <v>57985.33</v>
      </c>
      <c r="E7" s="92"/>
      <c r="F7" s="92"/>
      <c r="G7" s="93"/>
      <c r="H7" s="94"/>
      <c r="I7" s="92"/>
      <c r="J7" s="95"/>
      <c r="K7" s="96"/>
      <c r="L7" s="97"/>
      <c r="M7" s="93"/>
      <c r="N7" s="94"/>
      <c r="O7" s="92"/>
      <c r="P7" s="93"/>
      <c r="Q7" s="94"/>
      <c r="R7" s="92"/>
      <c r="S7" s="95"/>
      <c r="T7" s="98"/>
      <c r="U7" s="92"/>
      <c r="V7" s="93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88">
        <v>11</v>
      </c>
      <c r="AJ7" s="87"/>
      <c r="AK7" s="87"/>
      <c r="AL7" s="87"/>
    </row>
    <row r="8" spans="1:38" hidden="1">
      <c r="A8" s="88">
        <f t="shared" ref="A8:A21" si="4">A7+1</f>
        <v>12</v>
      </c>
      <c r="B8" s="89">
        <v>46526</v>
      </c>
      <c r="C8" s="90">
        <v>10898.47</v>
      </c>
      <c r="D8" s="91">
        <f t="shared" si="3"/>
        <v>57424.47</v>
      </c>
      <c r="E8" s="92"/>
      <c r="F8" s="92"/>
      <c r="G8" s="93"/>
      <c r="H8" s="94"/>
      <c r="I8" s="92"/>
      <c r="J8" s="95"/>
      <c r="K8" s="96"/>
      <c r="L8" s="97"/>
      <c r="M8" s="93"/>
      <c r="N8" s="94"/>
      <c r="O8" s="92"/>
      <c r="P8" s="93"/>
      <c r="Q8" s="94"/>
      <c r="R8" s="92"/>
      <c r="S8" s="95"/>
      <c r="T8" s="98"/>
      <c r="U8" s="92"/>
      <c r="V8" s="93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88">
        <f t="shared" ref="AI8:AI21" si="5">AI7+1</f>
        <v>12</v>
      </c>
      <c r="AJ8" s="87"/>
      <c r="AK8" s="87"/>
      <c r="AL8" s="87"/>
    </row>
    <row r="9" spans="1:38" hidden="1">
      <c r="A9" s="99" t="s">
        <v>463</v>
      </c>
      <c r="B9" s="100">
        <f>SUM(B5:B8)</f>
        <v>186104</v>
      </c>
      <c r="C9" s="100">
        <f>SUM(C5:C8)</f>
        <v>43198.75</v>
      </c>
      <c r="D9" s="100">
        <f>SUM(D5:D8)</f>
        <v>229302.75</v>
      </c>
      <c r="E9" s="92"/>
      <c r="F9" s="92"/>
      <c r="G9" s="93"/>
      <c r="H9" s="94"/>
      <c r="I9" s="92"/>
      <c r="J9" s="95"/>
      <c r="K9" s="96"/>
      <c r="L9" s="97"/>
      <c r="M9" s="93"/>
      <c r="N9" s="94"/>
      <c r="O9" s="92"/>
      <c r="P9" s="93"/>
      <c r="Q9" s="94"/>
      <c r="R9" s="92"/>
      <c r="S9" s="95"/>
      <c r="T9" s="98"/>
      <c r="U9" s="92"/>
      <c r="V9" s="93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99" t="s">
        <v>463</v>
      </c>
      <c r="AJ9" s="87"/>
      <c r="AK9" s="87"/>
      <c r="AL9" s="87"/>
    </row>
    <row r="10" spans="1:38" hidden="1">
      <c r="A10" s="88" t="s">
        <v>464</v>
      </c>
      <c r="B10" s="89">
        <v>46526</v>
      </c>
      <c r="C10" s="90">
        <v>11064.18</v>
      </c>
      <c r="D10" s="91">
        <f t="shared" si="3"/>
        <v>57590.18</v>
      </c>
      <c r="E10" s="92"/>
      <c r="F10" s="92"/>
      <c r="G10" s="93"/>
      <c r="H10" s="94"/>
      <c r="I10" s="92"/>
      <c r="J10" s="95"/>
      <c r="K10" s="96"/>
      <c r="L10" s="97"/>
      <c r="M10" s="93"/>
      <c r="N10" s="94"/>
      <c r="O10" s="92"/>
      <c r="P10" s="93"/>
      <c r="Q10" s="94"/>
      <c r="R10" s="92"/>
      <c r="S10" s="95"/>
      <c r="T10" s="98"/>
      <c r="U10" s="92"/>
      <c r="V10" s="93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88" t="s">
        <v>464</v>
      </c>
      <c r="AJ10" s="87"/>
      <c r="AK10" s="87"/>
      <c r="AL10" s="87"/>
    </row>
    <row r="11" spans="1:38" hidden="1">
      <c r="A11" s="88">
        <v>2</v>
      </c>
      <c r="B11" s="89">
        <v>46526</v>
      </c>
      <c r="C11" s="90">
        <v>10866.6</v>
      </c>
      <c r="D11" s="91">
        <f t="shared" si="3"/>
        <v>57392.6</v>
      </c>
      <c r="E11" s="92"/>
      <c r="F11" s="92"/>
      <c r="G11" s="93"/>
      <c r="H11" s="94"/>
      <c r="I11" s="92"/>
      <c r="J11" s="95"/>
      <c r="K11" s="96"/>
      <c r="L11" s="97"/>
      <c r="M11" s="93"/>
      <c r="N11" s="94"/>
      <c r="O11" s="92"/>
      <c r="P11" s="93"/>
      <c r="Q11" s="94"/>
      <c r="R11" s="92"/>
      <c r="S11" s="95"/>
      <c r="T11" s="98"/>
      <c r="U11" s="92"/>
      <c r="V11" s="93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88">
        <v>2</v>
      </c>
      <c r="AJ11" s="87"/>
      <c r="AK11" s="87"/>
      <c r="AL11" s="87"/>
    </row>
    <row r="12" spans="1:38" hidden="1">
      <c r="A12" s="88">
        <f t="shared" si="4"/>
        <v>3</v>
      </c>
      <c r="B12" s="89">
        <v>46526</v>
      </c>
      <c r="C12" s="90">
        <v>9636.5400000000009</v>
      </c>
      <c r="D12" s="91">
        <f t="shared" si="3"/>
        <v>56162.54</v>
      </c>
      <c r="E12" s="92"/>
      <c r="F12" s="92"/>
      <c r="G12" s="93"/>
      <c r="H12" s="94"/>
      <c r="I12" s="92"/>
      <c r="J12" s="95"/>
      <c r="K12" s="96"/>
      <c r="L12" s="97"/>
      <c r="M12" s="93"/>
      <c r="N12" s="94"/>
      <c r="O12" s="92"/>
      <c r="P12" s="93"/>
      <c r="Q12" s="94"/>
      <c r="R12" s="92"/>
      <c r="S12" s="95"/>
      <c r="T12" s="98"/>
      <c r="U12" s="92"/>
      <c r="V12" s="93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88">
        <f t="shared" si="5"/>
        <v>3</v>
      </c>
      <c r="AJ12" s="87"/>
      <c r="AK12" s="87"/>
      <c r="AL12" s="87"/>
    </row>
    <row r="13" spans="1:38" hidden="1">
      <c r="A13" s="88">
        <f t="shared" si="4"/>
        <v>4</v>
      </c>
      <c r="B13" s="89">
        <v>46526</v>
      </c>
      <c r="C13" s="90">
        <v>10471.450000000001</v>
      </c>
      <c r="D13" s="91">
        <f t="shared" si="3"/>
        <v>56997.45</v>
      </c>
      <c r="E13" s="92"/>
      <c r="F13" s="92"/>
      <c r="G13" s="93"/>
      <c r="H13" s="94"/>
      <c r="I13" s="92"/>
      <c r="J13" s="95"/>
      <c r="K13" s="96"/>
      <c r="L13" s="97"/>
      <c r="M13" s="93"/>
      <c r="N13" s="94"/>
      <c r="O13" s="92"/>
      <c r="P13" s="93"/>
      <c r="Q13" s="94"/>
      <c r="R13" s="92"/>
      <c r="S13" s="95"/>
      <c r="T13" s="98"/>
      <c r="U13" s="92"/>
      <c r="V13" s="93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88">
        <f t="shared" si="5"/>
        <v>4</v>
      </c>
      <c r="AJ13" s="87"/>
      <c r="AK13" s="87"/>
      <c r="AL13" s="87"/>
    </row>
    <row r="14" spans="1:38" hidden="1">
      <c r="A14" s="88">
        <f t="shared" si="4"/>
        <v>5</v>
      </c>
      <c r="B14" s="89">
        <v>46526</v>
      </c>
      <c r="C14" s="90">
        <v>9942.4599999999991</v>
      </c>
      <c r="D14" s="91">
        <f t="shared" si="3"/>
        <v>56468.46</v>
      </c>
      <c r="E14" s="92"/>
      <c r="F14" s="92"/>
      <c r="G14" s="93"/>
      <c r="H14" s="94"/>
      <c r="I14" s="92"/>
      <c r="J14" s="95"/>
      <c r="K14" s="96"/>
      <c r="L14" s="97"/>
      <c r="M14" s="93"/>
      <c r="N14" s="94"/>
      <c r="O14" s="92"/>
      <c r="P14" s="93"/>
      <c r="Q14" s="94"/>
      <c r="R14" s="92"/>
      <c r="S14" s="95"/>
      <c r="T14" s="98"/>
      <c r="U14" s="92"/>
      <c r="V14" s="93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88">
        <f t="shared" si="5"/>
        <v>5</v>
      </c>
      <c r="AJ14" s="87"/>
      <c r="AK14" s="87"/>
      <c r="AL14" s="87"/>
    </row>
    <row r="15" spans="1:38" hidden="1">
      <c r="A15" s="88">
        <f t="shared" si="4"/>
        <v>6</v>
      </c>
      <c r="B15" s="89">
        <v>46526</v>
      </c>
      <c r="C15" s="90">
        <v>10076.299999999999</v>
      </c>
      <c r="D15" s="91">
        <f t="shared" si="3"/>
        <v>56602.3</v>
      </c>
      <c r="E15" s="92"/>
      <c r="F15" s="92"/>
      <c r="G15" s="93"/>
      <c r="H15" s="94"/>
      <c r="I15" s="92"/>
      <c r="J15" s="95"/>
      <c r="K15" s="96"/>
      <c r="L15" s="97"/>
      <c r="M15" s="93"/>
      <c r="N15" s="94"/>
      <c r="O15" s="92"/>
      <c r="P15" s="93"/>
      <c r="Q15" s="94"/>
      <c r="R15" s="92"/>
      <c r="S15" s="95" t="s">
        <v>465</v>
      </c>
      <c r="T15" s="98"/>
      <c r="U15" s="92"/>
      <c r="V15" s="93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88">
        <f t="shared" si="5"/>
        <v>6</v>
      </c>
      <c r="AJ15" s="87"/>
      <c r="AK15" s="87"/>
      <c r="AL15" s="87"/>
    </row>
    <row r="16" spans="1:38" hidden="1">
      <c r="A16" s="88">
        <f t="shared" si="4"/>
        <v>7</v>
      </c>
      <c r="B16" s="89">
        <v>46526</v>
      </c>
      <c r="C16" s="90">
        <v>9560.0499999999993</v>
      </c>
      <c r="D16" s="91">
        <f t="shared" si="3"/>
        <v>56086.05</v>
      </c>
      <c r="E16" s="92"/>
      <c r="F16" s="92"/>
      <c r="G16" s="93"/>
      <c r="H16" s="94"/>
      <c r="I16" s="92"/>
      <c r="J16" s="95"/>
      <c r="K16" s="96">
        <v>0</v>
      </c>
      <c r="L16" s="97">
        <v>9972.6</v>
      </c>
      <c r="M16" s="93">
        <f t="shared" ref="M16:M21" si="6">K16+L16</f>
        <v>9972.6</v>
      </c>
      <c r="N16" s="94"/>
      <c r="O16" s="92"/>
      <c r="P16" s="93"/>
      <c r="Q16" s="94" t="s">
        <v>456</v>
      </c>
      <c r="R16" s="92"/>
      <c r="S16" s="95"/>
      <c r="T16" s="98"/>
      <c r="U16" s="92"/>
      <c r="V16" s="93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88">
        <f t="shared" si="5"/>
        <v>7</v>
      </c>
      <c r="AJ16" s="87"/>
      <c r="AK16" s="87"/>
      <c r="AL16" s="87"/>
    </row>
    <row r="17" spans="1:38" hidden="1">
      <c r="A17" s="88">
        <f t="shared" si="4"/>
        <v>8</v>
      </c>
      <c r="B17" s="89">
        <v>46526</v>
      </c>
      <c r="C17" s="90">
        <v>9681.15</v>
      </c>
      <c r="D17" s="91">
        <f t="shared" si="3"/>
        <v>56207.15</v>
      </c>
      <c r="E17" s="92"/>
      <c r="F17" s="92"/>
      <c r="G17" s="93"/>
      <c r="H17" s="94"/>
      <c r="I17" s="92"/>
      <c r="J17" s="95"/>
      <c r="K17" s="96">
        <v>0</v>
      </c>
      <c r="L17" s="97">
        <v>11890.41</v>
      </c>
      <c r="M17" s="93">
        <f t="shared" si="6"/>
        <v>11890.41</v>
      </c>
      <c r="N17" s="94"/>
      <c r="O17" s="92"/>
      <c r="P17" s="93"/>
      <c r="Q17" s="94"/>
      <c r="R17" s="92"/>
      <c r="S17" s="95"/>
      <c r="T17" s="98"/>
      <c r="U17" s="92"/>
      <c r="V17" s="93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88">
        <f t="shared" si="5"/>
        <v>8</v>
      </c>
      <c r="AJ17" s="87"/>
      <c r="AK17" s="87"/>
      <c r="AL17" s="87"/>
    </row>
    <row r="18" spans="1:38" hidden="1">
      <c r="A18" s="88">
        <f t="shared" si="4"/>
        <v>9</v>
      </c>
      <c r="B18" s="89">
        <v>46526</v>
      </c>
      <c r="C18" s="90">
        <v>9483.57</v>
      </c>
      <c r="D18" s="91">
        <f t="shared" si="3"/>
        <v>56009.57</v>
      </c>
      <c r="E18" s="92"/>
      <c r="F18" s="92"/>
      <c r="G18" s="93"/>
      <c r="H18" s="94"/>
      <c r="I18" s="92"/>
      <c r="J18" s="95"/>
      <c r="K18" s="96">
        <v>0</v>
      </c>
      <c r="L18" s="97">
        <v>11506.85</v>
      </c>
      <c r="M18" s="93">
        <f t="shared" si="6"/>
        <v>11506.85</v>
      </c>
      <c r="N18" s="94"/>
      <c r="O18" s="92"/>
      <c r="P18" s="93"/>
      <c r="Q18" s="94"/>
      <c r="R18" s="92"/>
      <c r="S18" s="95"/>
      <c r="T18" s="98"/>
      <c r="U18" s="92"/>
      <c r="V18" s="93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88">
        <f t="shared" si="5"/>
        <v>9</v>
      </c>
      <c r="AJ18" s="87"/>
      <c r="AK18" s="87"/>
      <c r="AL18" s="87"/>
    </row>
    <row r="19" spans="1:38" hidden="1">
      <c r="A19" s="88">
        <f t="shared" si="4"/>
        <v>10</v>
      </c>
      <c r="B19" s="89">
        <v>46526</v>
      </c>
      <c r="C19" s="90">
        <v>8986.4500000000007</v>
      </c>
      <c r="D19" s="91">
        <f t="shared" si="3"/>
        <v>55512.45</v>
      </c>
      <c r="E19" s="92"/>
      <c r="F19" s="92"/>
      <c r="G19" s="93"/>
      <c r="H19" s="94"/>
      <c r="I19" s="92"/>
      <c r="J19" s="95"/>
      <c r="K19" s="96">
        <v>0</v>
      </c>
      <c r="L19" s="97">
        <v>11890.41</v>
      </c>
      <c r="M19" s="93">
        <f t="shared" si="6"/>
        <v>11890.41</v>
      </c>
      <c r="N19" s="94"/>
      <c r="O19" s="92"/>
      <c r="P19" s="93"/>
      <c r="Q19" s="94"/>
      <c r="R19" s="92"/>
      <c r="S19" s="95"/>
      <c r="T19" s="98"/>
      <c r="U19" s="92"/>
      <c r="V19" s="93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88">
        <f t="shared" si="5"/>
        <v>10</v>
      </c>
      <c r="AJ19" s="87"/>
      <c r="AK19" s="87"/>
      <c r="AL19" s="87"/>
    </row>
    <row r="20" spans="1:38" hidden="1">
      <c r="A20" s="88">
        <f t="shared" si="4"/>
        <v>11</v>
      </c>
      <c r="B20" s="89">
        <v>46526</v>
      </c>
      <c r="C20" s="90">
        <v>9088.42</v>
      </c>
      <c r="D20" s="91">
        <f t="shared" si="3"/>
        <v>55614.42</v>
      </c>
      <c r="E20" s="92">
        <v>41920.5</v>
      </c>
      <c r="F20" s="92">
        <v>29570.93</v>
      </c>
      <c r="G20" s="93">
        <f>E20-F20</f>
        <v>12349.57</v>
      </c>
      <c r="H20" s="94">
        <v>53083.69</v>
      </c>
      <c r="I20" s="92">
        <v>37445.5</v>
      </c>
      <c r="J20" s="95">
        <f>H20-I20</f>
        <v>15638.19</v>
      </c>
      <c r="K20" s="96">
        <v>0</v>
      </c>
      <c r="L20" s="97">
        <v>11506.85</v>
      </c>
      <c r="M20" s="93">
        <f t="shared" si="6"/>
        <v>11506.85</v>
      </c>
      <c r="N20" s="94"/>
      <c r="O20" s="92"/>
      <c r="P20" s="93"/>
      <c r="Q20" s="94"/>
      <c r="R20" s="92"/>
      <c r="S20" s="95"/>
      <c r="T20" s="98"/>
      <c r="U20" s="92"/>
      <c r="V20" s="93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88">
        <f t="shared" si="5"/>
        <v>11</v>
      </c>
      <c r="AJ20" s="87"/>
      <c r="AK20" s="87"/>
      <c r="AL20" s="87"/>
    </row>
    <row r="21" spans="1:38" hidden="1">
      <c r="A21" s="88">
        <f t="shared" si="4"/>
        <v>12</v>
      </c>
      <c r="B21" s="89">
        <v>46526</v>
      </c>
      <c r="C21" s="90">
        <v>8604.0400000000009</v>
      </c>
      <c r="D21" s="91">
        <f t="shared" si="3"/>
        <v>55130.04</v>
      </c>
      <c r="E21" s="92">
        <v>41920.5</v>
      </c>
      <c r="F21" s="92">
        <v>29743.43</v>
      </c>
      <c r="G21" s="93">
        <f>E21-F21</f>
        <v>12177.07</v>
      </c>
      <c r="H21" s="94">
        <v>53083.69</v>
      </c>
      <c r="I21" s="92">
        <v>37663.93</v>
      </c>
      <c r="J21" s="95">
        <f t="shared" ref="J21:J103" si="7">H21-I21</f>
        <v>15419.76</v>
      </c>
      <c r="K21" s="96">
        <v>0</v>
      </c>
      <c r="L21" s="97">
        <v>11890.41</v>
      </c>
      <c r="M21" s="93">
        <f t="shared" si="6"/>
        <v>11890.41</v>
      </c>
      <c r="N21" s="94"/>
      <c r="O21" s="92"/>
      <c r="P21" s="93"/>
      <c r="Q21" s="94"/>
      <c r="R21" s="92"/>
      <c r="S21" s="95"/>
      <c r="T21" s="98"/>
      <c r="U21" s="92"/>
      <c r="V21" s="93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88">
        <f t="shared" si="5"/>
        <v>12</v>
      </c>
      <c r="AJ21" s="87"/>
      <c r="AK21" s="87"/>
      <c r="AL21" s="87"/>
    </row>
    <row r="22" spans="1:38" hidden="1">
      <c r="A22" s="99" t="s">
        <v>466</v>
      </c>
      <c r="B22" s="101">
        <f>SUM(B10:B21)</f>
        <v>558312</v>
      </c>
      <c r="C22" s="102">
        <f>SUM(C10:C21)</f>
        <v>117461.21</v>
      </c>
      <c r="D22" s="103">
        <f>SUM(D10:D21)</f>
        <v>675773.21</v>
      </c>
      <c r="E22" s="104">
        <f>SUM(E20:E21)</f>
        <v>83841</v>
      </c>
      <c r="F22" s="104">
        <f>SUM(F20:F21)</f>
        <v>59314.36</v>
      </c>
      <c r="G22" s="105">
        <f t="shared" ref="G22:G105" si="8">E22-F22</f>
        <v>24526.639999999999</v>
      </c>
      <c r="H22" s="106">
        <f>SUM(H20:H21)</f>
        <v>106167.38</v>
      </c>
      <c r="I22" s="104">
        <f>SUM(I20:I21)</f>
        <v>75109.429999999993</v>
      </c>
      <c r="J22" s="107">
        <f t="shared" si="7"/>
        <v>31057.95</v>
      </c>
      <c r="K22" s="103">
        <f>SUM(K16:K21)</f>
        <v>0</v>
      </c>
      <c r="L22" s="108">
        <f>SUM(L16:L21)</f>
        <v>68657.53</v>
      </c>
      <c r="M22" s="108">
        <f>SUM(M16:M21)</f>
        <v>68657.53</v>
      </c>
      <c r="N22" s="109"/>
      <c r="O22" s="110"/>
      <c r="P22" s="105"/>
      <c r="Q22" s="109"/>
      <c r="R22" s="110"/>
      <c r="S22" s="107"/>
      <c r="T22" s="111"/>
      <c r="U22" s="110"/>
      <c r="V22" s="105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99" t="s">
        <v>466</v>
      </c>
      <c r="AJ22" s="112">
        <f>B22+F22+I22+K22</f>
        <v>692735.79</v>
      </c>
      <c r="AK22" s="112">
        <f>C22+G22+J22+L22</f>
        <v>241703.33</v>
      </c>
      <c r="AL22" s="112">
        <f>AJ22+AK22</f>
        <v>934439.12</v>
      </c>
    </row>
    <row r="23" spans="1:38" ht="11.4" customHeight="1">
      <c r="A23" s="88" t="s">
        <v>467</v>
      </c>
      <c r="B23" s="98">
        <v>46526</v>
      </c>
      <c r="C23" s="92">
        <v>8693.27</v>
      </c>
      <c r="D23" s="92">
        <f>B23+C23</f>
        <v>55219.27</v>
      </c>
      <c r="E23" s="92">
        <v>41920.5</v>
      </c>
      <c r="F23" s="92">
        <v>29916.93</v>
      </c>
      <c r="G23" s="93">
        <f t="shared" si="8"/>
        <v>12003.57</v>
      </c>
      <c r="H23" s="92">
        <v>53083.69</v>
      </c>
      <c r="I23" s="92">
        <v>37883.64</v>
      </c>
      <c r="J23" s="95">
        <f t="shared" si="7"/>
        <v>15200.05</v>
      </c>
      <c r="K23" s="92">
        <v>0</v>
      </c>
      <c r="L23" s="92">
        <v>11890.41</v>
      </c>
      <c r="M23" s="113">
        <f>K23+L23</f>
        <v>11890.41</v>
      </c>
      <c r="N23" s="94"/>
      <c r="O23" s="92"/>
      <c r="P23" s="93"/>
      <c r="Q23" s="94"/>
      <c r="R23" s="92"/>
      <c r="S23" s="95"/>
      <c r="T23" s="98"/>
      <c r="U23" s="92"/>
      <c r="V23" s="93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88" t="s">
        <v>467</v>
      </c>
      <c r="AJ23" s="112"/>
      <c r="AK23" s="112"/>
      <c r="AL23" s="112"/>
    </row>
    <row r="24" spans="1:38" ht="11.4" customHeight="1">
      <c r="A24" s="88">
        <v>2</v>
      </c>
      <c r="B24" s="98">
        <v>46526</v>
      </c>
      <c r="C24" s="92">
        <v>8495.69</v>
      </c>
      <c r="D24" s="92">
        <f t="shared" ref="D24:D83" si="9">B24+C24</f>
        <v>55021.69</v>
      </c>
      <c r="E24" s="92">
        <v>41920.5</v>
      </c>
      <c r="F24" s="92">
        <v>30091.45</v>
      </c>
      <c r="G24" s="93">
        <f t="shared" si="8"/>
        <v>11829.05</v>
      </c>
      <c r="H24" s="92">
        <v>53083.69</v>
      </c>
      <c r="I24" s="92">
        <v>38104.629999999997</v>
      </c>
      <c r="J24" s="95">
        <f t="shared" si="7"/>
        <v>14979.06</v>
      </c>
      <c r="K24" s="92">
        <v>0</v>
      </c>
      <c r="L24" s="92">
        <v>10739.73</v>
      </c>
      <c r="M24" s="113">
        <f t="shared" ref="M24:M31" si="10">K24+L24</f>
        <v>10739.73</v>
      </c>
      <c r="N24" s="94"/>
      <c r="O24" s="92"/>
      <c r="P24" s="93"/>
      <c r="Q24" s="94"/>
      <c r="R24" s="92"/>
      <c r="S24" s="95"/>
      <c r="T24" s="98"/>
      <c r="U24" s="92"/>
      <c r="V24" s="93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88">
        <v>2</v>
      </c>
      <c r="AJ24" s="112"/>
      <c r="AK24" s="112"/>
      <c r="AL24" s="112"/>
    </row>
    <row r="25" spans="1:38" ht="11.4" customHeight="1">
      <c r="A25" s="88">
        <v>3</v>
      </c>
      <c r="B25" s="98">
        <v>46526</v>
      </c>
      <c r="C25" s="92">
        <v>7495.07</v>
      </c>
      <c r="D25" s="92">
        <f t="shared" si="9"/>
        <v>54021.07</v>
      </c>
      <c r="E25" s="92">
        <v>41920.5</v>
      </c>
      <c r="F25" s="92">
        <v>30266.98</v>
      </c>
      <c r="G25" s="93">
        <f t="shared" si="8"/>
        <v>11653.52</v>
      </c>
      <c r="H25" s="92">
        <v>53083.69</v>
      </c>
      <c r="I25" s="92">
        <v>38326.9</v>
      </c>
      <c r="J25" s="95">
        <f t="shared" si="7"/>
        <v>14756.79</v>
      </c>
      <c r="K25" s="92">
        <v>0</v>
      </c>
      <c r="L25" s="92">
        <v>11890.41</v>
      </c>
      <c r="M25" s="113">
        <f t="shared" si="10"/>
        <v>11890.41</v>
      </c>
      <c r="N25" s="94"/>
      <c r="O25" s="92"/>
      <c r="P25" s="93"/>
      <c r="Q25" s="94"/>
      <c r="R25" s="92"/>
      <c r="S25" s="95"/>
      <c r="T25" s="98"/>
      <c r="U25" s="92"/>
      <c r="V25" s="93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88">
        <v>3</v>
      </c>
      <c r="AJ25" s="112"/>
      <c r="AK25" s="112"/>
      <c r="AL25" s="112"/>
    </row>
    <row r="26" spans="1:38" ht="11.4" customHeight="1">
      <c r="A26" s="114" t="s">
        <v>468</v>
      </c>
      <c r="B26" s="115">
        <f t="shared" ref="B26:M26" si="11">B23+B24+B25</f>
        <v>139578</v>
      </c>
      <c r="C26" s="116">
        <f t="shared" si="11"/>
        <v>24684.03</v>
      </c>
      <c r="D26" s="116">
        <f t="shared" si="11"/>
        <v>164262.03</v>
      </c>
      <c r="E26" s="116">
        <f t="shared" si="11"/>
        <v>125761.5</v>
      </c>
      <c r="F26" s="116">
        <f t="shared" si="11"/>
        <v>90275.36</v>
      </c>
      <c r="G26" s="116">
        <f t="shared" si="11"/>
        <v>35486.14</v>
      </c>
      <c r="H26" s="116">
        <f t="shared" si="11"/>
        <v>159251.07</v>
      </c>
      <c r="I26" s="116">
        <f t="shared" si="11"/>
        <v>114315.17</v>
      </c>
      <c r="J26" s="116">
        <f t="shared" si="11"/>
        <v>44935.9</v>
      </c>
      <c r="K26" s="116">
        <f t="shared" si="11"/>
        <v>0</v>
      </c>
      <c r="L26" s="116">
        <f t="shared" si="11"/>
        <v>34520.550000000003</v>
      </c>
      <c r="M26" s="117">
        <f t="shared" si="11"/>
        <v>34520.550000000003</v>
      </c>
      <c r="N26" s="118"/>
      <c r="O26" s="116"/>
      <c r="P26" s="117"/>
      <c r="Q26" s="118"/>
      <c r="R26" s="116"/>
      <c r="S26" s="119"/>
      <c r="T26" s="115"/>
      <c r="U26" s="116"/>
      <c r="V26" s="117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14" t="s">
        <v>468</v>
      </c>
      <c r="AJ26" s="120">
        <f>B26+F26+I26+K26+N26</f>
        <v>344168.53</v>
      </c>
      <c r="AK26" s="121">
        <f>C26+G26+J26+L26+O26</f>
        <v>139626.62</v>
      </c>
      <c r="AL26" s="120">
        <f>D26+H26+E26+M26+P26</f>
        <v>483795.15</v>
      </c>
    </row>
    <row r="27" spans="1:38" ht="11.4" customHeight="1">
      <c r="A27" s="88">
        <v>4</v>
      </c>
      <c r="B27" s="98">
        <v>46526</v>
      </c>
      <c r="C27" s="92">
        <v>8100.54</v>
      </c>
      <c r="D27" s="92">
        <f t="shared" si="9"/>
        <v>54626.54</v>
      </c>
      <c r="E27" s="92">
        <v>41920.5</v>
      </c>
      <c r="F27" s="92">
        <v>30443.54</v>
      </c>
      <c r="G27" s="93">
        <f t="shared" si="8"/>
        <v>11476.96</v>
      </c>
      <c r="H27" s="92">
        <v>53083.69</v>
      </c>
      <c r="I27" s="92">
        <v>38550.480000000003</v>
      </c>
      <c r="J27" s="95">
        <f t="shared" si="7"/>
        <v>14533.21</v>
      </c>
      <c r="K27" s="92">
        <v>0</v>
      </c>
      <c r="L27" s="92">
        <v>11506.85</v>
      </c>
      <c r="M27" s="113">
        <f t="shared" si="10"/>
        <v>11506.85</v>
      </c>
      <c r="N27" s="94"/>
      <c r="O27" s="92"/>
      <c r="P27" s="93"/>
      <c r="Q27" s="94"/>
      <c r="R27" s="92"/>
      <c r="S27" s="95"/>
      <c r="T27" s="98"/>
      <c r="U27" s="92"/>
      <c r="V27" s="93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88">
        <v>4</v>
      </c>
      <c r="AJ27" s="112"/>
      <c r="AK27" s="112"/>
      <c r="AL27" s="112"/>
    </row>
    <row r="28" spans="1:38" ht="11.4" customHeight="1">
      <c r="A28" s="88">
        <v>5</v>
      </c>
      <c r="B28" s="98">
        <v>46526</v>
      </c>
      <c r="C28" s="92">
        <v>7648.03</v>
      </c>
      <c r="D28" s="92">
        <f t="shared" si="9"/>
        <v>54174.03</v>
      </c>
      <c r="E28" s="92">
        <v>41920.5</v>
      </c>
      <c r="F28" s="92">
        <v>30621.13</v>
      </c>
      <c r="G28" s="93">
        <f t="shared" si="8"/>
        <v>11299.37</v>
      </c>
      <c r="H28" s="92">
        <v>53083.69</v>
      </c>
      <c r="I28" s="92">
        <v>38775.35</v>
      </c>
      <c r="J28" s="95">
        <f t="shared" si="7"/>
        <v>14308.34</v>
      </c>
      <c r="K28" s="92">
        <v>0</v>
      </c>
      <c r="L28" s="92">
        <v>11890.41</v>
      </c>
      <c r="M28" s="113">
        <f t="shared" si="10"/>
        <v>11890.41</v>
      </c>
      <c r="N28" s="94"/>
      <c r="O28" s="92"/>
      <c r="P28" s="93"/>
      <c r="Q28" s="94"/>
      <c r="R28" s="92"/>
      <c r="S28" s="95"/>
      <c r="T28" s="98"/>
      <c r="U28" s="92"/>
      <c r="V28" s="93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88">
        <v>5</v>
      </c>
      <c r="AJ28" s="112"/>
      <c r="AK28" s="112"/>
      <c r="AL28" s="112"/>
    </row>
    <row r="29" spans="1:38" ht="11.4" customHeight="1">
      <c r="A29" s="88">
        <v>6</v>
      </c>
      <c r="B29" s="98">
        <v>46526</v>
      </c>
      <c r="C29" s="92">
        <v>7705.39</v>
      </c>
      <c r="D29" s="92">
        <f t="shared" si="9"/>
        <v>54231.39</v>
      </c>
      <c r="E29" s="92">
        <v>41920.5</v>
      </c>
      <c r="F29" s="92">
        <v>30799.75</v>
      </c>
      <c r="G29" s="93">
        <f t="shared" si="8"/>
        <v>11120.75</v>
      </c>
      <c r="H29" s="92">
        <v>53083.69</v>
      </c>
      <c r="I29" s="92">
        <v>39001.54</v>
      </c>
      <c r="J29" s="95">
        <f t="shared" si="7"/>
        <v>14082.15</v>
      </c>
      <c r="K29" s="92">
        <v>0</v>
      </c>
      <c r="L29" s="92">
        <v>11506.85</v>
      </c>
      <c r="M29" s="113">
        <f t="shared" si="10"/>
        <v>11506.85</v>
      </c>
      <c r="N29" s="122">
        <v>45834</v>
      </c>
      <c r="O29" s="90">
        <v>11678.08</v>
      </c>
      <c r="P29" s="91">
        <f>N29+O29</f>
        <v>57512.08</v>
      </c>
      <c r="Q29" s="123"/>
      <c r="R29" s="124"/>
      <c r="S29" s="125"/>
      <c r="T29" s="126"/>
      <c r="U29" s="124"/>
      <c r="V29" s="91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88">
        <v>6</v>
      </c>
      <c r="AJ29" s="112"/>
      <c r="AK29" s="112"/>
      <c r="AL29" s="112"/>
    </row>
    <row r="30" spans="1:38" ht="11.4" customHeight="1">
      <c r="A30" s="114" t="s">
        <v>469</v>
      </c>
      <c r="B30" s="115">
        <f t="shared" ref="B30:P30" si="12">B27+B28+B29</f>
        <v>139578</v>
      </c>
      <c r="C30" s="116">
        <f t="shared" si="12"/>
        <v>23453.96</v>
      </c>
      <c r="D30" s="116">
        <f t="shared" si="12"/>
        <v>163031.96</v>
      </c>
      <c r="E30" s="116">
        <f t="shared" si="12"/>
        <v>125761.5</v>
      </c>
      <c r="F30" s="116">
        <f t="shared" si="12"/>
        <v>91864.42</v>
      </c>
      <c r="G30" s="116">
        <f t="shared" si="12"/>
        <v>33897.08</v>
      </c>
      <c r="H30" s="116">
        <f t="shared" si="12"/>
        <v>159251.07</v>
      </c>
      <c r="I30" s="116">
        <f t="shared" si="12"/>
        <v>116327.37</v>
      </c>
      <c r="J30" s="116">
        <f t="shared" si="12"/>
        <v>42923.7</v>
      </c>
      <c r="K30" s="116">
        <f t="shared" si="12"/>
        <v>0</v>
      </c>
      <c r="L30" s="116">
        <f t="shared" si="12"/>
        <v>34904.11</v>
      </c>
      <c r="M30" s="117">
        <f t="shared" si="12"/>
        <v>34904.11</v>
      </c>
      <c r="N30" s="118">
        <f t="shared" si="12"/>
        <v>45834</v>
      </c>
      <c r="O30" s="116">
        <f t="shared" si="12"/>
        <v>11678.08</v>
      </c>
      <c r="P30" s="117">
        <f t="shared" si="12"/>
        <v>57512.08</v>
      </c>
      <c r="Q30" s="118"/>
      <c r="R30" s="116"/>
      <c r="S30" s="119"/>
      <c r="T30" s="115"/>
      <c r="U30" s="116"/>
      <c r="V30" s="117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14" t="s">
        <v>469</v>
      </c>
      <c r="AJ30" s="120">
        <f>B30+F30+I30+K30+N30</f>
        <v>393603.79</v>
      </c>
      <c r="AK30" s="121">
        <f>C30+G30+J30+L30+O30</f>
        <v>146856.93</v>
      </c>
      <c r="AL30" s="120">
        <f>D30+E30+H30+M30+P30</f>
        <v>540460.72</v>
      </c>
    </row>
    <row r="31" spans="1:38" ht="11.4" customHeight="1">
      <c r="A31" s="88">
        <v>7</v>
      </c>
      <c r="B31" s="98">
        <v>46526</v>
      </c>
      <c r="C31" s="92">
        <v>7265.62</v>
      </c>
      <c r="D31" s="92">
        <f t="shared" si="9"/>
        <v>53791.62</v>
      </c>
      <c r="E31" s="92">
        <v>41920.5</v>
      </c>
      <c r="F31" s="92">
        <v>30979.42</v>
      </c>
      <c r="G31" s="93">
        <f t="shared" si="8"/>
        <v>10941.08</v>
      </c>
      <c r="H31" s="92">
        <v>53083.69</v>
      </c>
      <c r="I31" s="92">
        <v>39229.050000000003</v>
      </c>
      <c r="J31" s="95">
        <f t="shared" si="7"/>
        <v>13854.64</v>
      </c>
      <c r="K31" s="92">
        <v>2000000</v>
      </c>
      <c r="L31" s="92">
        <v>1534.25</v>
      </c>
      <c r="M31" s="113">
        <f t="shared" si="10"/>
        <v>2001534.25</v>
      </c>
      <c r="N31" s="122">
        <v>45834</v>
      </c>
      <c r="O31" s="90">
        <v>11113.01</v>
      </c>
      <c r="P31" s="91">
        <f t="shared" ref="P31:P113" si="13">N31+O31</f>
        <v>56947.01</v>
      </c>
      <c r="Q31" s="123"/>
      <c r="R31" s="124"/>
      <c r="S31" s="125"/>
      <c r="T31" s="126"/>
      <c r="U31" s="124"/>
      <c r="V31" s="91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88">
        <v>7</v>
      </c>
      <c r="AJ31" s="112"/>
      <c r="AK31" s="112"/>
      <c r="AL31" s="112"/>
    </row>
    <row r="32" spans="1:38" ht="11.4" customHeight="1">
      <c r="A32" s="88">
        <v>8</v>
      </c>
      <c r="B32" s="98">
        <v>46526</v>
      </c>
      <c r="C32" s="92">
        <v>7310.23</v>
      </c>
      <c r="D32" s="92">
        <f t="shared" si="9"/>
        <v>53836.23</v>
      </c>
      <c r="E32" s="92">
        <v>41920.5</v>
      </c>
      <c r="F32" s="92">
        <v>31160.13</v>
      </c>
      <c r="G32" s="93">
        <f t="shared" si="8"/>
        <v>10760.37</v>
      </c>
      <c r="H32" s="92">
        <v>53083.69</v>
      </c>
      <c r="I32" s="92">
        <v>39457.89</v>
      </c>
      <c r="J32" s="95">
        <f t="shared" si="7"/>
        <v>13625.8</v>
      </c>
      <c r="K32" s="92"/>
      <c r="L32" s="92"/>
      <c r="M32" s="93"/>
      <c r="N32" s="122">
        <v>45834</v>
      </c>
      <c r="O32" s="90">
        <v>11288.81</v>
      </c>
      <c r="P32" s="91">
        <f t="shared" si="13"/>
        <v>57122.81</v>
      </c>
      <c r="Q32" s="123"/>
      <c r="R32" s="124">
        <v>1534.25</v>
      </c>
      <c r="S32" s="125">
        <f>Q32+R32</f>
        <v>1534.25</v>
      </c>
      <c r="T32" s="126"/>
      <c r="U32" s="124"/>
      <c r="V32" s="91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88">
        <v>8</v>
      </c>
      <c r="AJ32" s="112"/>
      <c r="AK32" s="112"/>
      <c r="AL32" s="112"/>
    </row>
    <row r="33" spans="1:38" ht="11.4" customHeight="1">
      <c r="A33" s="88">
        <v>9</v>
      </c>
      <c r="B33" s="98">
        <v>46526</v>
      </c>
      <c r="C33" s="92">
        <v>7112.66</v>
      </c>
      <c r="D33" s="92">
        <f t="shared" si="9"/>
        <v>53638.66</v>
      </c>
      <c r="E33" s="92">
        <v>41920.5</v>
      </c>
      <c r="F33" s="92">
        <v>31341.9</v>
      </c>
      <c r="G33" s="93">
        <f t="shared" si="8"/>
        <v>10578.6</v>
      </c>
      <c r="H33" s="92">
        <v>53083.69</v>
      </c>
      <c r="I33" s="92">
        <v>39688.06</v>
      </c>
      <c r="J33" s="95">
        <f t="shared" si="7"/>
        <v>13395.63</v>
      </c>
      <c r="K33" s="92"/>
      <c r="L33" s="92"/>
      <c r="M33" s="93"/>
      <c r="N33" s="122">
        <v>45834</v>
      </c>
      <c r="O33" s="90">
        <v>11094.17</v>
      </c>
      <c r="P33" s="91">
        <f t="shared" si="13"/>
        <v>56928.17</v>
      </c>
      <c r="Q33" s="123"/>
      <c r="R33" s="97">
        <v>11506.85</v>
      </c>
      <c r="S33" s="125">
        <f t="shared" ref="S33:S49" si="14">Q33+R33</f>
        <v>11506.85</v>
      </c>
      <c r="T33" s="126"/>
      <c r="U33" s="124"/>
      <c r="V33" s="91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88">
        <v>9</v>
      </c>
      <c r="AJ33" s="112"/>
      <c r="AK33" s="112"/>
      <c r="AL33" s="112"/>
    </row>
    <row r="34" spans="1:38" ht="11.4" customHeight="1">
      <c r="A34" s="114" t="s">
        <v>470</v>
      </c>
      <c r="B34" s="115">
        <f t="shared" ref="B34:P34" si="15">B31+B32+B33</f>
        <v>139578</v>
      </c>
      <c r="C34" s="116">
        <f t="shared" si="15"/>
        <v>21688.51</v>
      </c>
      <c r="D34" s="116">
        <f t="shared" si="15"/>
        <v>161266.51</v>
      </c>
      <c r="E34" s="116">
        <f t="shared" si="15"/>
        <v>125761.5</v>
      </c>
      <c r="F34" s="116">
        <f t="shared" si="15"/>
        <v>93481.45</v>
      </c>
      <c r="G34" s="116">
        <f t="shared" si="15"/>
        <v>32280.05</v>
      </c>
      <c r="H34" s="116">
        <f t="shared" si="15"/>
        <v>159251.07</v>
      </c>
      <c r="I34" s="116">
        <f t="shared" si="15"/>
        <v>118375</v>
      </c>
      <c r="J34" s="116">
        <f t="shared" si="15"/>
        <v>40876.07</v>
      </c>
      <c r="K34" s="116">
        <f t="shared" si="15"/>
        <v>2000000</v>
      </c>
      <c r="L34" s="116">
        <f t="shared" si="15"/>
        <v>1534.25</v>
      </c>
      <c r="M34" s="117">
        <f t="shared" si="15"/>
        <v>2001534.25</v>
      </c>
      <c r="N34" s="118">
        <f t="shared" si="15"/>
        <v>137502</v>
      </c>
      <c r="O34" s="116">
        <f t="shared" si="15"/>
        <v>33495.99</v>
      </c>
      <c r="P34" s="117">
        <f t="shared" si="15"/>
        <v>170997.99</v>
      </c>
      <c r="Q34" s="94"/>
      <c r="R34" s="127">
        <f>SUM(R32:R33)</f>
        <v>13041.1</v>
      </c>
      <c r="S34" s="128">
        <f t="shared" si="14"/>
        <v>13041.1</v>
      </c>
      <c r="T34" s="98"/>
      <c r="U34" s="92"/>
      <c r="V34" s="93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14" t="s">
        <v>470</v>
      </c>
      <c r="AJ34" s="120">
        <f>B34+F34+I34+K34+N34</f>
        <v>2488936.4500000002</v>
      </c>
      <c r="AK34" s="121">
        <f>C34+G34+J34+L34+O34+R34</f>
        <v>142915.97</v>
      </c>
      <c r="AL34" s="120">
        <f>D34+E34+H34+M34+P34+S34</f>
        <v>2631852.42</v>
      </c>
    </row>
    <row r="35" spans="1:38" ht="11.4" customHeight="1">
      <c r="A35" s="88">
        <v>10</v>
      </c>
      <c r="B35" s="98">
        <v>46526</v>
      </c>
      <c r="C35" s="92">
        <v>6692.01</v>
      </c>
      <c r="D35" s="92">
        <f t="shared" si="9"/>
        <v>53218.01</v>
      </c>
      <c r="E35" s="92">
        <v>41920.5</v>
      </c>
      <c r="F35" s="92">
        <v>31524.73</v>
      </c>
      <c r="G35" s="93">
        <f t="shared" si="8"/>
        <v>10395.77</v>
      </c>
      <c r="H35" s="92">
        <v>53083.69</v>
      </c>
      <c r="I35" s="92">
        <v>39919.57</v>
      </c>
      <c r="J35" s="95">
        <f t="shared" si="7"/>
        <v>13164.12</v>
      </c>
      <c r="K35" s="92"/>
      <c r="L35" s="92"/>
      <c r="M35" s="93"/>
      <c r="N35" s="122">
        <v>45834</v>
      </c>
      <c r="O35" s="90">
        <v>10547.93</v>
      </c>
      <c r="P35" s="91">
        <f t="shared" si="13"/>
        <v>56381.93</v>
      </c>
      <c r="Q35" s="123"/>
      <c r="R35" s="97">
        <v>11890.41</v>
      </c>
      <c r="S35" s="125">
        <f t="shared" si="14"/>
        <v>11890.41</v>
      </c>
      <c r="T35" s="126"/>
      <c r="U35" s="129"/>
      <c r="V35" s="91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88">
        <v>10</v>
      </c>
      <c r="AJ35" s="112"/>
      <c r="AK35" s="112"/>
      <c r="AL35" s="112"/>
    </row>
    <row r="36" spans="1:38" ht="11.4" customHeight="1">
      <c r="A36" s="88">
        <v>11</v>
      </c>
      <c r="B36" s="98">
        <v>46526</v>
      </c>
      <c r="C36" s="92">
        <v>6717.5</v>
      </c>
      <c r="D36" s="92">
        <f t="shared" si="9"/>
        <v>53243.5</v>
      </c>
      <c r="E36" s="92">
        <v>41920.5</v>
      </c>
      <c r="F36" s="92">
        <v>31708.62</v>
      </c>
      <c r="G36" s="93">
        <f t="shared" si="8"/>
        <v>10211.879999999999</v>
      </c>
      <c r="H36" s="92">
        <v>53083.69</v>
      </c>
      <c r="I36" s="92">
        <v>40152.44</v>
      </c>
      <c r="J36" s="95">
        <f t="shared" si="7"/>
        <v>12931.25</v>
      </c>
      <c r="K36" s="92"/>
      <c r="L36" s="92"/>
      <c r="M36" s="93"/>
      <c r="N36" s="122">
        <v>45834</v>
      </c>
      <c r="O36" s="90">
        <v>10704.89</v>
      </c>
      <c r="P36" s="91">
        <f t="shared" si="13"/>
        <v>56538.89</v>
      </c>
      <c r="Q36" s="123"/>
      <c r="R36" s="97">
        <v>11506.85</v>
      </c>
      <c r="S36" s="125">
        <f t="shared" si="14"/>
        <v>11506.85</v>
      </c>
      <c r="T36" s="130"/>
      <c r="U36" s="131">
        <v>42345.21</v>
      </c>
      <c r="V36" s="130">
        <f>T36+U36</f>
        <v>42345.21</v>
      </c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88">
        <v>11</v>
      </c>
      <c r="AJ36" s="112"/>
      <c r="AK36" s="112"/>
      <c r="AL36" s="112"/>
    </row>
    <row r="37" spans="1:38" ht="11.4" customHeight="1">
      <c r="A37" s="88">
        <v>12</v>
      </c>
      <c r="B37" s="98">
        <v>46526</v>
      </c>
      <c r="C37" s="92">
        <v>6309.61</v>
      </c>
      <c r="D37" s="92">
        <f t="shared" si="9"/>
        <v>52835.61</v>
      </c>
      <c r="E37" s="92">
        <v>41920.5</v>
      </c>
      <c r="F37" s="92">
        <v>31893.59</v>
      </c>
      <c r="G37" s="93">
        <f t="shared" si="8"/>
        <v>10026.91</v>
      </c>
      <c r="H37" s="92">
        <v>53083.69</v>
      </c>
      <c r="I37" s="92">
        <v>40386.660000000003</v>
      </c>
      <c r="J37" s="95">
        <f t="shared" si="7"/>
        <v>12697.03</v>
      </c>
      <c r="K37" s="92"/>
      <c r="L37" s="92"/>
      <c r="M37" s="93"/>
      <c r="N37" s="122">
        <v>45834</v>
      </c>
      <c r="O37" s="90">
        <v>10171.219999999999</v>
      </c>
      <c r="P37" s="91">
        <f t="shared" si="13"/>
        <v>56005.22</v>
      </c>
      <c r="Q37" s="123"/>
      <c r="R37" s="97">
        <v>11890.41</v>
      </c>
      <c r="S37" s="125">
        <f t="shared" si="14"/>
        <v>11890.41</v>
      </c>
      <c r="T37" s="130"/>
      <c r="U37" s="131">
        <v>31758.9</v>
      </c>
      <c r="V37" s="130">
        <f t="shared" ref="V37:V118" si="16">T37+U37</f>
        <v>31758.9</v>
      </c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88">
        <v>12</v>
      </c>
      <c r="AJ37" s="112"/>
      <c r="AK37" s="112"/>
      <c r="AL37" s="112"/>
    </row>
    <row r="38" spans="1:38" ht="11.4" customHeight="1">
      <c r="A38" s="114" t="s">
        <v>471</v>
      </c>
      <c r="B38" s="115">
        <f t="shared" ref="B38:J38" si="17">B35+B36+B37</f>
        <v>139578</v>
      </c>
      <c r="C38" s="116">
        <f t="shared" si="17"/>
        <v>19719.12</v>
      </c>
      <c r="D38" s="116">
        <f t="shared" si="17"/>
        <v>159297.12</v>
      </c>
      <c r="E38" s="116">
        <f t="shared" si="17"/>
        <v>125761.5</v>
      </c>
      <c r="F38" s="116">
        <f t="shared" si="17"/>
        <v>95126.94</v>
      </c>
      <c r="G38" s="116">
        <f t="shared" si="17"/>
        <v>30634.560000000001</v>
      </c>
      <c r="H38" s="116">
        <f t="shared" si="17"/>
        <v>159251.07</v>
      </c>
      <c r="I38" s="116">
        <f t="shared" si="17"/>
        <v>120458.67</v>
      </c>
      <c r="J38" s="116">
        <f t="shared" si="17"/>
        <v>38792.400000000001</v>
      </c>
      <c r="K38" s="116"/>
      <c r="L38" s="116"/>
      <c r="M38" s="117"/>
      <c r="N38" s="118">
        <f>N35+N36+N37</f>
        <v>137502</v>
      </c>
      <c r="O38" s="116">
        <f>O35+O36+O37</f>
        <v>31424.04</v>
      </c>
      <c r="P38" s="117">
        <f>P35+P36+P37</f>
        <v>168926.04</v>
      </c>
      <c r="Q38" s="94"/>
      <c r="R38" s="116">
        <f>SUM(R35:R37)</f>
        <v>35287.67</v>
      </c>
      <c r="S38" s="128">
        <f t="shared" si="14"/>
        <v>35287.67</v>
      </c>
      <c r="T38" s="132"/>
      <c r="U38" s="133">
        <f>SUM(U36:U37)</f>
        <v>74104.11</v>
      </c>
      <c r="V38" s="134">
        <f t="shared" si="16"/>
        <v>74104.11</v>
      </c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14" t="s">
        <v>471</v>
      </c>
      <c r="AJ38" s="120">
        <f>B38+F38+I38+K38+N38+T38</f>
        <v>492665.61</v>
      </c>
      <c r="AK38" s="121">
        <f>C38+G38+J38+L38+O38+R38+U38</f>
        <v>229961.9</v>
      </c>
      <c r="AL38" s="120">
        <f>D38+E38+H38+M38+P38+S38+V38</f>
        <v>722627.51</v>
      </c>
    </row>
    <row r="39" spans="1:38" ht="11.4" customHeight="1">
      <c r="A39" s="135" t="s">
        <v>472</v>
      </c>
      <c r="B39" s="111">
        <f t="shared" ref="B39:P39" si="18">B26+B30+B34+B38</f>
        <v>558312</v>
      </c>
      <c r="C39" s="110">
        <f t="shared" si="18"/>
        <v>89545.62</v>
      </c>
      <c r="D39" s="110">
        <f t="shared" si="18"/>
        <v>647857.62</v>
      </c>
      <c r="E39" s="110">
        <f t="shared" si="18"/>
        <v>503046</v>
      </c>
      <c r="F39" s="110">
        <f t="shared" si="18"/>
        <v>370748.17</v>
      </c>
      <c r="G39" s="110">
        <f t="shared" si="18"/>
        <v>132297.82999999999</v>
      </c>
      <c r="H39" s="110">
        <f t="shared" si="18"/>
        <v>637004.28</v>
      </c>
      <c r="I39" s="110">
        <f t="shared" si="18"/>
        <v>469476.21</v>
      </c>
      <c r="J39" s="110">
        <f t="shared" si="18"/>
        <v>167528.07</v>
      </c>
      <c r="K39" s="110">
        <f t="shared" si="18"/>
        <v>2000000</v>
      </c>
      <c r="L39" s="110">
        <f t="shared" si="18"/>
        <v>70958.91</v>
      </c>
      <c r="M39" s="105">
        <f t="shared" si="18"/>
        <v>2070958.91</v>
      </c>
      <c r="N39" s="109">
        <f t="shared" si="18"/>
        <v>320838</v>
      </c>
      <c r="O39" s="110">
        <f t="shared" si="18"/>
        <v>76598.11</v>
      </c>
      <c r="P39" s="105">
        <f t="shared" si="18"/>
        <v>397436.11</v>
      </c>
      <c r="Q39" s="109"/>
      <c r="R39" s="110">
        <f>R34+R38</f>
        <v>48328.77</v>
      </c>
      <c r="S39" s="136">
        <f t="shared" si="14"/>
        <v>48328.77</v>
      </c>
      <c r="T39" s="137"/>
      <c r="U39" s="138">
        <f>U38</f>
        <v>74104.11</v>
      </c>
      <c r="V39" s="139">
        <f t="shared" si="16"/>
        <v>74104.11</v>
      </c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5" t="s">
        <v>472</v>
      </c>
      <c r="AJ39" s="120">
        <f>B39+F39+I39+K39+N39+Q39+T39</f>
        <v>3719374.38</v>
      </c>
      <c r="AK39" s="120">
        <f>C39+G39+J39+L39+O39+R39+U39</f>
        <v>659361.42000000004</v>
      </c>
      <c r="AL39" s="120">
        <f>D39+E39+H39+M39+P39+S39+V39</f>
        <v>4378735.8</v>
      </c>
    </row>
    <row r="40" spans="1:38" ht="11.4" customHeight="1">
      <c r="A40" s="88" t="s">
        <v>473</v>
      </c>
      <c r="B40" s="98">
        <v>46526</v>
      </c>
      <c r="C40" s="92">
        <v>6322.35</v>
      </c>
      <c r="D40" s="92">
        <f t="shared" si="9"/>
        <v>52848.35</v>
      </c>
      <c r="E40" s="92">
        <v>41920.5</v>
      </c>
      <c r="F40" s="92">
        <v>32079.63</v>
      </c>
      <c r="G40" s="93">
        <f t="shared" si="8"/>
        <v>9840.8700000000008</v>
      </c>
      <c r="H40" s="92">
        <v>53083.69</v>
      </c>
      <c r="I40" s="92">
        <v>40622.25</v>
      </c>
      <c r="J40" s="95">
        <f t="shared" si="7"/>
        <v>12461.44</v>
      </c>
      <c r="K40" s="140"/>
      <c r="L40" s="140"/>
      <c r="M40" s="141"/>
      <c r="N40" s="122">
        <v>45834</v>
      </c>
      <c r="O40" s="90">
        <v>10315.620000000001</v>
      </c>
      <c r="P40" s="91">
        <f t="shared" si="13"/>
        <v>56149.62</v>
      </c>
      <c r="Q40" s="123"/>
      <c r="R40" s="92">
        <v>11890.41</v>
      </c>
      <c r="S40" s="125">
        <f t="shared" si="14"/>
        <v>11890.41</v>
      </c>
      <c r="T40" s="130"/>
      <c r="U40" s="131">
        <v>32817.53</v>
      </c>
      <c r="V40" s="130">
        <f t="shared" si="16"/>
        <v>32817.53</v>
      </c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88" t="s">
        <v>473</v>
      </c>
      <c r="AJ40" s="120"/>
      <c r="AK40" s="120"/>
      <c r="AL40" s="120"/>
    </row>
    <row r="41" spans="1:38" ht="11.4" customHeight="1">
      <c r="A41" s="88">
        <v>2</v>
      </c>
      <c r="B41" s="98">
        <v>46526</v>
      </c>
      <c r="C41" s="92">
        <v>6124.78</v>
      </c>
      <c r="D41" s="92">
        <f t="shared" si="9"/>
        <v>52650.78</v>
      </c>
      <c r="E41" s="92">
        <v>41920.5</v>
      </c>
      <c r="F41" s="92">
        <v>32266.76</v>
      </c>
      <c r="G41" s="93">
        <f t="shared" si="8"/>
        <v>9653.74</v>
      </c>
      <c r="H41" s="92">
        <v>53083.69</v>
      </c>
      <c r="I41" s="92">
        <v>40859.21</v>
      </c>
      <c r="J41" s="95">
        <f t="shared" si="7"/>
        <v>12224.48</v>
      </c>
      <c r="K41" s="140"/>
      <c r="L41" s="140"/>
      <c r="M41" s="141"/>
      <c r="N41" s="122">
        <v>45834</v>
      </c>
      <c r="O41" s="90">
        <v>10120.98</v>
      </c>
      <c r="P41" s="91">
        <f t="shared" si="13"/>
        <v>55954.98</v>
      </c>
      <c r="Q41" s="123"/>
      <c r="R41" s="92">
        <v>10739.73</v>
      </c>
      <c r="S41" s="125">
        <f t="shared" si="14"/>
        <v>10739.73</v>
      </c>
      <c r="T41" s="130"/>
      <c r="U41" s="131">
        <v>32817.53</v>
      </c>
      <c r="V41" s="130">
        <f t="shared" si="16"/>
        <v>32817.53</v>
      </c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88">
        <v>2</v>
      </c>
      <c r="AJ41" s="120"/>
      <c r="AK41" s="120"/>
      <c r="AL41" s="120"/>
    </row>
    <row r="42" spans="1:38" ht="11.4" customHeight="1">
      <c r="A42" s="88">
        <v>3</v>
      </c>
      <c r="B42" s="98">
        <v>46526</v>
      </c>
      <c r="C42" s="92">
        <v>5544.8</v>
      </c>
      <c r="D42" s="92">
        <f t="shared" si="9"/>
        <v>52070.8</v>
      </c>
      <c r="E42" s="92">
        <v>41920.5</v>
      </c>
      <c r="F42" s="92">
        <v>32454.99</v>
      </c>
      <c r="G42" s="93">
        <f t="shared" si="8"/>
        <v>9465.51</v>
      </c>
      <c r="H42" s="92">
        <v>53083.69</v>
      </c>
      <c r="I42" s="92">
        <v>41097.56</v>
      </c>
      <c r="J42" s="95">
        <f t="shared" si="7"/>
        <v>11986.13</v>
      </c>
      <c r="K42" s="140"/>
      <c r="L42" s="140"/>
      <c r="M42" s="141"/>
      <c r="N42" s="122">
        <v>45834</v>
      </c>
      <c r="O42" s="90">
        <v>9285.94</v>
      </c>
      <c r="P42" s="91">
        <f t="shared" si="13"/>
        <v>55119.94</v>
      </c>
      <c r="Q42" s="123"/>
      <c r="R42" s="92">
        <v>11890.41</v>
      </c>
      <c r="S42" s="125">
        <f t="shared" si="14"/>
        <v>11890.41</v>
      </c>
      <c r="T42" s="130"/>
      <c r="U42" s="131">
        <v>30700.27</v>
      </c>
      <c r="V42" s="130">
        <f t="shared" si="16"/>
        <v>30700.27</v>
      </c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88">
        <v>3</v>
      </c>
      <c r="AJ42" s="120"/>
      <c r="AK42" s="120"/>
      <c r="AL42" s="120"/>
    </row>
    <row r="43" spans="1:38" ht="11.4" customHeight="1">
      <c r="A43" s="88"/>
      <c r="B43" s="115">
        <f>SUM(B40:B42)</f>
        <v>139578</v>
      </c>
      <c r="C43" s="115">
        <f t="shared" ref="C43:AB43" si="19">SUM(C40:C42)</f>
        <v>17991.93</v>
      </c>
      <c r="D43" s="115">
        <f t="shared" si="19"/>
        <v>157569.93</v>
      </c>
      <c r="E43" s="115">
        <f t="shared" si="19"/>
        <v>125761.5</v>
      </c>
      <c r="F43" s="115">
        <f t="shared" si="19"/>
        <v>96801.38</v>
      </c>
      <c r="G43" s="115">
        <f t="shared" si="19"/>
        <v>28960.12</v>
      </c>
      <c r="H43" s="115">
        <f t="shared" si="19"/>
        <v>159251.07</v>
      </c>
      <c r="I43" s="115">
        <f t="shared" si="19"/>
        <v>122579.02</v>
      </c>
      <c r="J43" s="115">
        <f t="shared" si="19"/>
        <v>36672.050000000003</v>
      </c>
      <c r="K43" s="115">
        <f t="shared" si="19"/>
        <v>0</v>
      </c>
      <c r="L43" s="115">
        <f t="shared" si="19"/>
        <v>0</v>
      </c>
      <c r="M43" s="115">
        <f t="shared" si="19"/>
        <v>0</v>
      </c>
      <c r="N43" s="115">
        <f t="shared" si="19"/>
        <v>137502</v>
      </c>
      <c r="O43" s="115">
        <f t="shared" si="19"/>
        <v>29722.54</v>
      </c>
      <c r="P43" s="115">
        <f t="shared" si="19"/>
        <v>167224.54</v>
      </c>
      <c r="Q43" s="115">
        <f t="shared" si="19"/>
        <v>0</v>
      </c>
      <c r="R43" s="115">
        <f t="shared" si="19"/>
        <v>34520.550000000003</v>
      </c>
      <c r="S43" s="115">
        <f t="shared" si="19"/>
        <v>34520.550000000003</v>
      </c>
      <c r="T43" s="115">
        <f t="shared" si="19"/>
        <v>0</v>
      </c>
      <c r="U43" s="115">
        <f t="shared" si="19"/>
        <v>96335.33</v>
      </c>
      <c r="V43" s="115">
        <f t="shared" si="19"/>
        <v>96335.33</v>
      </c>
      <c r="W43" s="115">
        <f t="shared" si="19"/>
        <v>0</v>
      </c>
      <c r="X43" s="115">
        <f t="shared" si="19"/>
        <v>0</v>
      </c>
      <c r="Y43" s="115">
        <f t="shared" si="19"/>
        <v>0</v>
      </c>
      <c r="Z43" s="115">
        <f t="shared" si="19"/>
        <v>0</v>
      </c>
      <c r="AA43" s="115">
        <f t="shared" si="19"/>
        <v>0</v>
      </c>
      <c r="AB43" s="115">
        <f t="shared" si="19"/>
        <v>0</v>
      </c>
      <c r="AC43" s="156"/>
      <c r="AD43" s="156"/>
      <c r="AE43" s="156"/>
      <c r="AF43" s="156"/>
      <c r="AG43" s="156"/>
      <c r="AH43" s="156"/>
      <c r="AI43" s="114" t="s">
        <v>468</v>
      </c>
      <c r="AJ43" s="120">
        <f>B43+F43+I43+K43+N43+Q43+T43</f>
        <v>496460.4</v>
      </c>
      <c r="AK43" s="121">
        <f>C43+G43+J43+L43+O43+R43+U43</f>
        <v>244202.52</v>
      </c>
      <c r="AL43" s="120">
        <f>D43+E43+H43+M43+P43+S43+V43</f>
        <v>740662.92</v>
      </c>
    </row>
    <row r="44" spans="1:38" ht="11.4" customHeight="1">
      <c r="A44" s="88">
        <v>4</v>
      </c>
      <c r="B44" s="98">
        <v>46526</v>
      </c>
      <c r="C44" s="92">
        <v>5729.62</v>
      </c>
      <c r="D44" s="92">
        <f t="shared" si="9"/>
        <v>52255.62</v>
      </c>
      <c r="E44" s="92">
        <v>41920.5</v>
      </c>
      <c r="F44" s="92">
        <v>32644.31</v>
      </c>
      <c r="G44" s="93">
        <f t="shared" si="8"/>
        <v>9276.19</v>
      </c>
      <c r="H44" s="92">
        <v>53083.69</v>
      </c>
      <c r="I44" s="92">
        <v>41337.29</v>
      </c>
      <c r="J44" s="95">
        <f t="shared" si="7"/>
        <v>11746.4</v>
      </c>
      <c r="K44" s="140"/>
      <c r="L44" s="140"/>
      <c r="M44" s="141"/>
      <c r="N44" s="122">
        <v>45834</v>
      </c>
      <c r="O44" s="90">
        <v>9731.7099999999991</v>
      </c>
      <c r="P44" s="91">
        <f t="shared" si="13"/>
        <v>55565.71</v>
      </c>
      <c r="Q44" s="123"/>
      <c r="R44" s="92">
        <v>11506.85</v>
      </c>
      <c r="S44" s="125">
        <f t="shared" si="14"/>
        <v>11506.85</v>
      </c>
      <c r="T44" s="130"/>
      <c r="U44" s="131">
        <v>32817.53</v>
      </c>
      <c r="V44" s="130">
        <f t="shared" si="16"/>
        <v>32817.53</v>
      </c>
      <c r="W44" s="130"/>
      <c r="X44" s="130">
        <v>171.23</v>
      </c>
      <c r="Y44" s="130">
        <f>W44+X44</f>
        <v>171.23</v>
      </c>
      <c r="Z44" s="130"/>
      <c r="AA44" s="130"/>
      <c r="AB44" s="130"/>
      <c r="AC44" s="130">
        <f>AD44+AE44</f>
        <v>38164.879999999997</v>
      </c>
      <c r="AD44" s="130">
        <v>23196.18</v>
      </c>
      <c r="AE44" s="130">
        <v>14968.7</v>
      </c>
      <c r="AF44" s="130"/>
      <c r="AG44" s="130"/>
      <c r="AH44" s="130"/>
      <c r="AI44" s="88">
        <v>4</v>
      </c>
      <c r="AJ44" s="120"/>
      <c r="AK44" s="120"/>
      <c r="AL44" s="120"/>
    </row>
    <row r="45" spans="1:38" ht="11.4" customHeight="1">
      <c r="A45" s="88">
        <v>5</v>
      </c>
      <c r="B45" s="98">
        <v>46526</v>
      </c>
      <c r="C45" s="92">
        <v>5353.69</v>
      </c>
      <c r="D45" s="92">
        <f t="shared" si="9"/>
        <v>51879.69</v>
      </c>
      <c r="E45" s="92">
        <v>41920.5</v>
      </c>
      <c r="F45" s="92">
        <v>32834.730000000003</v>
      </c>
      <c r="G45" s="93">
        <f t="shared" si="8"/>
        <v>9085.77</v>
      </c>
      <c r="H45" s="92">
        <v>53083.69</v>
      </c>
      <c r="I45" s="92">
        <v>41578.43</v>
      </c>
      <c r="J45" s="95">
        <f t="shared" si="7"/>
        <v>11505.26</v>
      </c>
      <c r="K45" s="140"/>
      <c r="L45" s="140"/>
      <c r="M45" s="141"/>
      <c r="N45" s="122">
        <v>45834</v>
      </c>
      <c r="O45" s="90">
        <v>9229.42</v>
      </c>
      <c r="P45" s="91">
        <f t="shared" si="13"/>
        <v>55063.42</v>
      </c>
      <c r="Q45" s="123"/>
      <c r="R45" s="92">
        <v>11890.41</v>
      </c>
      <c r="S45" s="125">
        <f t="shared" si="14"/>
        <v>11890.41</v>
      </c>
      <c r="T45" s="130">
        <v>102223</v>
      </c>
      <c r="U45" s="131">
        <v>31758.9</v>
      </c>
      <c r="V45" s="130">
        <f t="shared" si="16"/>
        <v>133981.9</v>
      </c>
      <c r="W45" s="130"/>
      <c r="X45" s="130">
        <v>5136.99</v>
      </c>
      <c r="Y45" s="130">
        <f t="shared" ref="Y45:Y46" si="20">W45+X45</f>
        <v>5136.99</v>
      </c>
      <c r="Z45" s="130"/>
      <c r="AA45" s="130"/>
      <c r="AB45" s="130"/>
      <c r="AC45" s="130">
        <f t="shared" ref="AC45:AC46" si="21">AD45+AE45</f>
        <v>38164.879999999997</v>
      </c>
      <c r="AD45" s="130">
        <v>23389.48</v>
      </c>
      <c r="AE45" s="130">
        <v>14775.4</v>
      </c>
      <c r="AF45" s="130"/>
      <c r="AG45" s="130"/>
      <c r="AH45" s="130"/>
      <c r="AI45" s="88">
        <v>5</v>
      </c>
      <c r="AJ45" s="120"/>
      <c r="AK45" s="120"/>
      <c r="AL45" s="120"/>
    </row>
    <row r="46" spans="1:38" ht="11.4" customHeight="1">
      <c r="A46" s="88">
        <v>6</v>
      </c>
      <c r="B46" s="98">
        <v>46526</v>
      </c>
      <c r="C46" s="92">
        <v>5334.47</v>
      </c>
      <c r="D46" s="92">
        <f t="shared" si="9"/>
        <v>51860.47</v>
      </c>
      <c r="E46" s="92">
        <v>41920.5</v>
      </c>
      <c r="F46" s="92">
        <v>33026.269999999997</v>
      </c>
      <c r="G46" s="93">
        <f t="shared" si="8"/>
        <v>8894.23</v>
      </c>
      <c r="H46" s="92">
        <v>53083.69</v>
      </c>
      <c r="I46" s="92">
        <v>41820.97</v>
      </c>
      <c r="J46" s="95">
        <f t="shared" si="7"/>
        <v>11262.72</v>
      </c>
      <c r="K46" s="140"/>
      <c r="L46" s="140"/>
      <c r="M46" s="141"/>
      <c r="N46" s="122">
        <v>45834</v>
      </c>
      <c r="O46" s="90">
        <v>9342.43</v>
      </c>
      <c r="P46" s="91">
        <f t="shared" si="13"/>
        <v>55176.43</v>
      </c>
      <c r="Q46" s="123"/>
      <c r="R46" s="92">
        <v>11506.85</v>
      </c>
      <c r="S46" s="125">
        <f t="shared" si="14"/>
        <v>11506.85</v>
      </c>
      <c r="T46" s="130">
        <v>102223</v>
      </c>
      <c r="U46" s="131">
        <v>32209.8</v>
      </c>
      <c r="V46" s="130">
        <f t="shared" si="16"/>
        <v>134432.79999999999</v>
      </c>
      <c r="W46" s="130"/>
      <c r="X46" s="130">
        <v>5308.22</v>
      </c>
      <c r="Y46" s="130">
        <f t="shared" si="20"/>
        <v>5308.22</v>
      </c>
      <c r="Z46" s="130"/>
      <c r="AA46" s="130"/>
      <c r="AB46" s="130"/>
      <c r="AC46" s="130">
        <f t="shared" si="21"/>
        <v>38164.879999999997</v>
      </c>
      <c r="AD46" s="130">
        <v>23584.39</v>
      </c>
      <c r="AE46" s="130">
        <v>14580.49</v>
      </c>
      <c r="AF46" s="130"/>
      <c r="AG46" s="130"/>
      <c r="AH46" s="130"/>
      <c r="AI46" s="88">
        <v>6</v>
      </c>
      <c r="AJ46" s="120"/>
      <c r="AK46" s="120"/>
      <c r="AL46" s="120"/>
    </row>
    <row r="47" spans="1:38" ht="11.4" customHeight="1">
      <c r="A47" s="88"/>
      <c r="B47" s="115">
        <f>SUM(B44:B46)</f>
        <v>139578</v>
      </c>
      <c r="C47" s="115">
        <f t="shared" ref="C47:AE47" si="22">SUM(C44:C46)</f>
        <v>16417.78</v>
      </c>
      <c r="D47" s="115">
        <f t="shared" si="22"/>
        <v>155995.78</v>
      </c>
      <c r="E47" s="115">
        <f t="shared" si="22"/>
        <v>125761.5</v>
      </c>
      <c r="F47" s="115">
        <f t="shared" si="22"/>
        <v>98505.31</v>
      </c>
      <c r="G47" s="115">
        <f t="shared" si="22"/>
        <v>27256.19</v>
      </c>
      <c r="H47" s="115">
        <f t="shared" si="22"/>
        <v>159251.07</v>
      </c>
      <c r="I47" s="115">
        <f t="shared" si="22"/>
        <v>124736.69</v>
      </c>
      <c r="J47" s="115">
        <f t="shared" si="22"/>
        <v>34514.379999999997</v>
      </c>
      <c r="K47" s="115">
        <f t="shared" si="22"/>
        <v>0</v>
      </c>
      <c r="L47" s="115">
        <f t="shared" si="22"/>
        <v>0</v>
      </c>
      <c r="M47" s="115">
        <f t="shared" si="22"/>
        <v>0</v>
      </c>
      <c r="N47" s="115">
        <f t="shared" si="22"/>
        <v>137502</v>
      </c>
      <c r="O47" s="115">
        <f t="shared" si="22"/>
        <v>28303.56</v>
      </c>
      <c r="P47" s="115">
        <f t="shared" si="22"/>
        <v>165805.56</v>
      </c>
      <c r="Q47" s="115">
        <f t="shared" si="22"/>
        <v>0</v>
      </c>
      <c r="R47" s="115">
        <f t="shared" si="22"/>
        <v>34904.11</v>
      </c>
      <c r="S47" s="115">
        <f t="shared" si="22"/>
        <v>34904.11</v>
      </c>
      <c r="T47" s="115">
        <f t="shared" si="22"/>
        <v>204446</v>
      </c>
      <c r="U47" s="115">
        <f t="shared" si="22"/>
        <v>96786.23</v>
      </c>
      <c r="V47" s="115">
        <f t="shared" si="22"/>
        <v>301232.23</v>
      </c>
      <c r="W47" s="115">
        <f t="shared" si="22"/>
        <v>0</v>
      </c>
      <c r="X47" s="115">
        <f t="shared" si="22"/>
        <v>10616.44</v>
      </c>
      <c r="Y47" s="115">
        <f t="shared" si="22"/>
        <v>10616.44</v>
      </c>
      <c r="Z47" s="115">
        <f t="shared" si="22"/>
        <v>0</v>
      </c>
      <c r="AA47" s="115">
        <f t="shared" si="22"/>
        <v>0</v>
      </c>
      <c r="AB47" s="115">
        <f t="shared" si="22"/>
        <v>0</v>
      </c>
      <c r="AC47" s="115">
        <f t="shared" si="22"/>
        <v>114494.64</v>
      </c>
      <c r="AD47" s="115">
        <f t="shared" si="22"/>
        <v>70170.05</v>
      </c>
      <c r="AE47" s="115">
        <f t="shared" si="22"/>
        <v>44324.59</v>
      </c>
      <c r="AF47" s="156"/>
      <c r="AG47" s="156"/>
      <c r="AH47" s="156"/>
      <c r="AI47" s="114" t="s">
        <v>469</v>
      </c>
      <c r="AJ47" s="120">
        <f>B47+F47+I47+K47+N47+Q47+T47+W47+Z47+AD47</f>
        <v>774938.05</v>
      </c>
      <c r="AK47" s="121">
        <f>C47+G47+J47+L47+O47+R47+U47+X47+AA47+AE47</f>
        <v>293123.28000000003</v>
      </c>
      <c r="AL47" s="120">
        <f>D47+E47+H47+M47+P47+S47+V47+Y47+AB47+AC47</f>
        <v>1068061.33</v>
      </c>
    </row>
    <row r="48" spans="1:38" ht="11.4" customHeight="1">
      <c r="A48" s="88">
        <v>7</v>
      </c>
      <c r="B48" s="98">
        <v>46526</v>
      </c>
      <c r="C48" s="92">
        <v>4971.1899999999996</v>
      </c>
      <c r="D48" s="92">
        <f t="shared" si="9"/>
        <v>51497.19</v>
      </c>
      <c r="E48" s="92">
        <v>41920.5</v>
      </c>
      <c r="F48" s="92">
        <v>33218.92</v>
      </c>
      <c r="G48" s="93">
        <f t="shared" si="8"/>
        <v>8701.58</v>
      </c>
      <c r="H48" s="92">
        <v>53083.69</v>
      </c>
      <c r="I48" s="92">
        <v>42064.92</v>
      </c>
      <c r="J48" s="95">
        <f t="shared" si="7"/>
        <v>11018.77</v>
      </c>
      <c r="K48" s="140"/>
      <c r="L48" s="140"/>
      <c r="M48" s="141"/>
      <c r="N48" s="122">
        <v>45834</v>
      </c>
      <c r="O48" s="90">
        <v>8852.7000000000007</v>
      </c>
      <c r="P48" s="91">
        <f t="shared" si="13"/>
        <v>54686.7</v>
      </c>
      <c r="Q48" s="123"/>
      <c r="R48" s="97">
        <v>11890.41</v>
      </c>
      <c r="S48" s="125">
        <f t="shared" si="14"/>
        <v>11890.41</v>
      </c>
      <c r="T48" s="130">
        <v>102223</v>
      </c>
      <c r="U48" s="131">
        <v>30582.639999999999</v>
      </c>
      <c r="V48" s="130">
        <f t="shared" si="16"/>
        <v>132805.64000000001</v>
      </c>
      <c r="W48" s="130"/>
      <c r="X48" s="130">
        <v>5136.99</v>
      </c>
      <c r="Y48" s="130">
        <f>W48+X48</f>
        <v>5136.99</v>
      </c>
      <c r="Z48" s="130"/>
      <c r="AA48" s="130"/>
      <c r="AB48" s="130"/>
      <c r="AC48" s="130">
        <f>AD48+AE48</f>
        <v>38164.879999999997</v>
      </c>
      <c r="AD48" s="130">
        <v>23780.93</v>
      </c>
      <c r="AE48" s="130">
        <v>14383.95</v>
      </c>
      <c r="AF48" s="130"/>
      <c r="AG48" s="130"/>
      <c r="AH48" s="130"/>
      <c r="AI48" s="88">
        <v>7</v>
      </c>
      <c r="AJ48" s="120"/>
      <c r="AK48" s="120"/>
      <c r="AL48" s="120"/>
    </row>
    <row r="49" spans="1:41" ht="11.4" customHeight="1">
      <c r="A49" s="88">
        <v>8</v>
      </c>
      <c r="B49" s="98">
        <v>46526</v>
      </c>
      <c r="C49" s="92">
        <v>4939.32</v>
      </c>
      <c r="D49" s="92">
        <f t="shared" si="9"/>
        <v>51465.32</v>
      </c>
      <c r="E49" s="92">
        <v>41920.5</v>
      </c>
      <c r="F49" s="92">
        <v>33412.699999999997</v>
      </c>
      <c r="G49" s="93">
        <f t="shared" si="8"/>
        <v>8507.7999999999993</v>
      </c>
      <c r="H49" s="92">
        <v>53083.69</v>
      </c>
      <c r="I49" s="92">
        <v>42310.3</v>
      </c>
      <c r="J49" s="95">
        <f t="shared" si="7"/>
        <v>10773.39</v>
      </c>
      <c r="K49" s="140"/>
      <c r="L49" s="140"/>
      <c r="M49" s="141"/>
      <c r="N49" s="122">
        <v>45834</v>
      </c>
      <c r="O49" s="90">
        <v>8953.16</v>
      </c>
      <c r="P49" s="91">
        <f t="shared" si="13"/>
        <v>54787.16</v>
      </c>
      <c r="Q49" s="123">
        <v>2000000</v>
      </c>
      <c r="R49" s="124">
        <v>9972.6</v>
      </c>
      <c r="S49" s="125">
        <f t="shared" si="14"/>
        <v>2009972.6</v>
      </c>
      <c r="T49" s="130">
        <v>102223</v>
      </c>
      <c r="U49" s="131">
        <v>30994.32</v>
      </c>
      <c r="V49" s="130">
        <f t="shared" si="16"/>
        <v>133217.32</v>
      </c>
      <c r="W49" s="130"/>
      <c r="X49" s="130">
        <v>5308.22</v>
      </c>
      <c r="Y49" s="130">
        <f t="shared" ref="Y49:Y50" si="23">W49+X49</f>
        <v>5308.22</v>
      </c>
      <c r="Z49" s="130"/>
      <c r="AA49" s="130"/>
      <c r="AB49" s="130"/>
      <c r="AC49" s="130">
        <f t="shared" ref="AC49:AC50" si="24">AD49+AE49</f>
        <v>38164.879999999997</v>
      </c>
      <c r="AD49" s="130">
        <v>23979.1</v>
      </c>
      <c r="AE49" s="130">
        <v>14185.78</v>
      </c>
      <c r="AF49" s="130"/>
      <c r="AG49" s="130"/>
      <c r="AH49" s="130"/>
      <c r="AI49" s="88">
        <v>8</v>
      </c>
      <c r="AJ49" s="120"/>
      <c r="AK49" s="120"/>
      <c r="AL49" s="120"/>
    </row>
    <row r="50" spans="1:41" ht="11.4" customHeight="1">
      <c r="A50" s="88">
        <v>9</v>
      </c>
      <c r="B50" s="98">
        <v>46526</v>
      </c>
      <c r="C50" s="92">
        <v>4741.74</v>
      </c>
      <c r="D50" s="92">
        <f t="shared" si="9"/>
        <v>51267.74</v>
      </c>
      <c r="E50" s="92">
        <v>41920.5</v>
      </c>
      <c r="F50" s="92">
        <v>33607.61</v>
      </c>
      <c r="G50" s="93">
        <f t="shared" si="8"/>
        <v>8312.89</v>
      </c>
      <c r="H50" s="92">
        <v>53083.69</v>
      </c>
      <c r="I50" s="92">
        <v>42557.11</v>
      </c>
      <c r="J50" s="95">
        <f t="shared" si="7"/>
        <v>10526.58</v>
      </c>
      <c r="K50" s="140"/>
      <c r="L50" s="140"/>
      <c r="M50" s="141"/>
      <c r="N50" s="122">
        <v>45834</v>
      </c>
      <c r="O50" s="90">
        <v>8758.52</v>
      </c>
      <c r="P50" s="91">
        <f t="shared" si="13"/>
        <v>54592.52</v>
      </c>
      <c r="Q50" s="123"/>
      <c r="R50" s="124"/>
      <c r="S50" s="125"/>
      <c r="T50" s="130">
        <v>102223</v>
      </c>
      <c r="U50" s="131">
        <v>30386.59</v>
      </c>
      <c r="V50" s="130">
        <f t="shared" si="16"/>
        <v>132609.59</v>
      </c>
      <c r="W50" s="130"/>
      <c r="X50" s="130">
        <v>5308.22</v>
      </c>
      <c r="Y50" s="130">
        <f t="shared" si="23"/>
        <v>5308.22</v>
      </c>
      <c r="Z50" s="130"/>
      <c r="AA50" s="130">
        <v>1972.6</v>
      </c>
      <c r="AB50" s="130">
        <f>Z49:Z50+AA50</f>
        <v>1972.6</v>
      </c>
      <c r="AC50" s="130">
        <f t="shared" si="24"/>
        <v>38164.879999999997</v>
      </c>
      <c r="AD50" s="130">
        <v>24178.93</v>
      </c>
      <c r="AE50" s="130">
        <v>13985.95</v>
      </c>
      <c r="AF50" s="130"/>
      <c r="AG50" s="130"/>
      <c r="AH50" s="130"/>
      <c r="AI50" s="88">
        <v>9</v>
      </c>
      <c r="AJ50" s="120"/>
      <c r="AK50" s="120"/>
      <c r="AL50" s="120"/>
    </row>
    <row r="51" spans="1:41" ht="11.4" customHeight="1">
      <c r="A51" s="88"/>
      <c r="B51" s="115">
        <f>SUM(B48:B50)</f>
        <v>139578</v>
      </c>
      <c r="C51" s="115">
        <f t="shared" ref="C51:AE51" si="25">SUM(C48:C50)</f>
        <v>14652.25</v>
      </c>
      <c r="D51" s="115">
        <f t="shared" si="25"/>
        <v>154230.25</v>
      </c>
      <c r="E51" s="115">
        <f t="shared" si="25"/>
        <v>125761.5</v>
      </c>
      <c r="F51" s="115">
        <f t="shared" si="25"/>
        <v>100239.23</v>
      </c>
      <c r="G51" s="115">
        <f t="shared" si="25"/>
        <v>25522.27</v>
      </c>
      <c r="H51" s="115">
        <f t="shared" si="25"/>
        <v>159251.07</v>
      </c>
      <c r="I51" s="115">
        <f t="shared" si="25"/>
        <v>126932.33</v>
      </c>
      <c r="J51" s="115">
        <f t="shared" si="25"/>
        <v>32318.74</v>
      </c>
      <c r="K51" s="115">
        <f t="shared" si="25"/>
        <v>0</v>
      </c>
      <c r="L51" s="115">
        <f t="shared" si="25"/>
        <v>0</v>
      </c>
      <c r="M51" s="115">
        <f t="shared" si="25"/>
        <v>0</v>
      </c>
      <c r="N51" s="115">
        <f t="shared" si="25"/>
        <v>137502</v>
      </c>
      <c r="O51" s="115">
        <f t="shared" si="25"/>
        <v>26564.38</v>
      </c>
      <c r="P51" s="115">
        <f t="shared" si="25"/>
        <v>164066.38</v>
      </c>
      <c r="Q51" s="115">
        <f t="shared" si="25"/>
        <v>2000000</v>
      </c>
      <c r="R51" s="115">
        <f t="shared" si="25"/>
        <v>21863.01</v>
      </c>
      <c r="S51" s="115">
        <f t="shared" si="25"/>
        <v>2021863.01</v>
      </c>
      <c r="T51" s="115">
        <f t="shared" si="25"/>
        <v>306669</v>
      </c>
      <c r="U51" s="115">
        <f t="shared" si="25"/>
        <v>91963.55</v>
      </c>
      <c r="V51" s="115">
        <f t="shared" si="25"/>
        <v>398632.55</v>
      </c>
      <c r="W51" s="115">
        <f t="shared" si="25"/>
        <v>0</v>
      </c>
      <c r="X51" s="115">
        <f t="shared" si="25"/>
        <v>15753.43</v>
      </c>
      <c r="Y51" s="115">
        <f t="shared" si="25"/>
        <v>15753.43</v>
      </c>
      <c r="Z51" s="115">
        <f t="shared" si="25"/>
        <v>0</v>
      </c>
      <c r="AA51" s="115">
        <f t="shared" si="25"/>
        <v>1972.6</v>
      </c>
      <c r="AB51" s="115">
        <f t="shared" si="25"/>
        <v>1972.6</v>
      </c>
      <c r="AC51" s="115">
        <f t="shared" si="25"/>
        <v>114494.64</v>
      </c>
      <c r="AD51" s="115">
        <f t="shared" si="25"/>
        <v>71938.960000000006</v>
      </c>
      <c r="AE51" s="115">
        <f t="shared" si="25"/>
        <v>42555.68</v>
      </c>
      <c r="AF51" s="156"/>
      <c r="AG51" s="156"/>
      <c r="AH51" s="156"/>
      <c r="AI51" s="114" t="s">
        <v>470</v>
      </c>
      <c r="AJ51" s="120">
        <f>B51+F51+I51+K51+N51+Q51+T51+W51+Z51+AD51</f>
        <v>2882859.52</v>
      </c>
      <c r="AK51" s="121">
        <f>C51+G51+J51+L51+O51+R51+U51+X51+AA51+AE51</f>
        <v>273165.90999999997</v>
      </c>
      <c r="AL51" s="120">
        <f>D51+E51+H51+M51+P51+S51+V51+Y51+AB51+AC51</f>
        <v>3156025.43</v>
      </c>
    </row>
    <row r="52" spans="1:41" ht="11.4" customHeight="1">
      <c r="A52" s="88">
        <v>10</v>
      </c>
      <c r="B52" s="98">
        <v>46526</v>
      </c>
      <c r="C52" s="92">
        <v>4397.58</v>
      </c>
      <c r="D52" s="92">
        <f t="shared" si="9"/>
        <v>50923.58</v>
      </c>
      <c r="E52" s="92">
        <v>41920.5</v>
      </c>
      <c r="F52" s="92">
        <v>33803.65</v>
      </c>
      <c r="G52" s="93">
        <f t="shared" si="8"/>
        <v>8116.85</v>
      </c>
      <c r="H52" s="92">
        <v>53083.69</v>
      </c>
      <c r="I52" s="92">
        <v>42805.36</v>
      </c>
      <c r="J52" s="95">
        <f t="shared" si="7"/>
        <v>10278.33</v>
      </c>
      <c r="K52" s="140"/>
      <c r="L52" s="140"/>
      <c r="M52" s="141"/>
      <c r="N52" s="122">
        <v>45834</v>
      </c>
      <c r="O52" s="90">
        <v>8287.6299999999992</v>
      </c>
      <c r="P52" s="91">
        <f t="shared" si="13"/>
        <v>54121.63</v>
      </c>
      <c r="Q52" s="123"/>
      <c r="R52" s="124"/>
      <c r="S52" s="125"/>
      <c r="T52" s="130">
        <v>102223</v>
      </c>
      <c r="U52" s="131">
        <v>28818.240000000002</v>
      </c>
      <c r="V52" s="130">
        <f t="shared" si="16"/>
        <v>131041.24</v>
      </c>
      <c r="W52" s="130"/>
      <c r="X52" s="130">
        <v>5136.99</v>
      </c>
      <c r="Y52" s="130">
        <f>W52+X52</f>
        <v>5136.99</v>
      </c>
      <c r="Z52" s="130"/>
      <c r="AA52" s="130">
        <v>9863.01</v>
      </c>
      <c r="AB52" s="130">
        <f>Z52+AA52</f>
        <v>9863.01</v>
      </c>
      <c r="AC52" s="130">
        <f>AD52+AE52</f>
        <v>38164.879999999997</v>
      </c>
      <c r="AD52" s="130">
        <v>24380.42</v>
      </c>
      <c r="AE52" s="130">
        <v>13784.46</v>
      </c>
      <c r="AF52" s="130"/>
      <c r="AG52" s="130"/>
      <c r="AH52" s="130"/>
      <c r="AI52" s="88">
        <v>10</v>
      </c>
      <c r="AJ52" s="120"/>
      <c r="AK52" s="120"/>
      <c r="AL52" s="120"/>
    </row>
    <row r="53" spans="1:41" ht="11.4" customHeight="1">
      <c r="A53" s="88">
        <v>11</v>
      </c>
      <c r="B53" s="98">
        <v>46526</v>
      </c>
      <c r="C53" s="92">
        <v>4346.59</v>
      </c>
      <c r="D53" s="92">
        <f t="shared" si="9"/>
        <v>50872.59</v>
      </c>
      <c r="E53" s="92">
        <v>41920.5</v>
      </c>
      <c r="F53" s="92">
        <v>34000.839999999997</v>
      </c>
      <c r="G53" s="93">
        <f t="shared" si="8"/>
        <v>7919.66</v>
      </c>
      <c r="H53" s="92">
        <v>53083.69</v>
      </c>
      <c r="I53" s="92">
        <v>43055.06</v>
      </c>
      <c r="J53" s="95">
        <f t="shared" si="7"/>
        <v>10028.629999999999</v>
      </c>
      <c r="K53" s="140"/>
      <c r="L53" s="140"/>
      <c r="M53" s="141"/>
      <c r="N53" s="122">
        <v>45834</v>
      </c>
      <c r="O53" s="90">
        <v>8369.24</v>
      </c>
      <c r="P53" s="91">
        <f t="shared" si="13"/>
        <v>54203.24</v>
      </c>
      <c r="Q53" s="123"/>
      <c r="R53" s="124"/>
      <c r="S53" s="125"/>
      <c r="T53" s="130">
        <v>102223</v>
      </c>
      <c r="U53" s="131">
        <v>29171.11</v>
      </c>
      <c r="V53" s="130">
        <f t="shared" si="16"/>
        <v>131394.10999999999</v>
      </c>
      <c r="W53" s="130"/>
      <c r="X53" s="130">
        <v>5308.22</v>
      </c>
      <c r="Y53" s="130">
        <f t="shared" ref="Y53:Y54" si="26">W53+X53</f>
        <v>5308.22</v>
      </c>
      <c r="Z53" s="130"/>
      <c r="AA53" s="130">
        <v>10191.780000000001</v>
      </c>
      <c r="AB53" s="130">
        <f t="shared" ref="AB53:AB54" si="27">Z53+AA53</f>
        <v>10191.780000000001</v>
      </c>
      <c r="AC53" s="130">
        <f>AD53+AE53</f>
        <v>38164.879999999997</v>
      </c>
      <c r="AD53" s="130">
        <v>24583.59</v>
      </c>
      <c r="AE53" s="130">
        <v>13581.29</v>
      </c>
      <c r="AF53" s="130"/>
      <c r="AG53" s="130"/>
      <c r="AH53" s="130"/>
      <c r="AI53" s="88">
        <v>11</v>
      </c>
      <c r="AJ53" s="120"/>
      <c r="AK53" s="120"/>
      <c r="AL53" s="120"/>
    </row>
    <row r="54" spans="1:41" ht="11.4" customHeight="1">
      <c r="A54" s="88">
        <v>12</v>
      </c>
      <c r="B54" s="98">
        <v>46526</v>
      </c>
      <c r="C54" s="92">
        <v>4015.18</v>
      </c>
      <c r="D54" s="92">
        <f t="shared" si="9"/>
        <v>50541.18</v>
      </c>
      <c r="E54" s="92">
        <v>41920.5</v>
      </c>
      <c r="F54" s="92">
        <v>34199.18</v>
      </c>
      <c r="G54" s="93">
        <f t="shared" si="8"/>
        <v>7721.32</v>
      </c>
      <c r="H54" s="92">
        <v>53083.69</v>
      </c>
      <c r="I54" s="92">
        <v>43306.22</v>
      </c>
      <c r="J54" s="95">
        <f t="shared" si="7"/>
        <v>9777.4699999999993</v>
      </c>
      <c r="K54" s="140"/>
      <c r="L54" s="140"/>
      <c r="M54" s="141"/>
      <c r="N54" s="122">
        <v>45834</v>
      </c>
      <c r="O54" s="90">
        <v>7910.91</v>
      </c>
      <c r="P54" s="91">
        <f t="shared" si="13"/>
        <v>53744.91</v>
      </c>
      <c r="Q54" s="123"/>
      <c r="R54" s="124"/>
      <c r="S54" s="125"/>
      <c r="T54" s="130">
        <v>102223</v>
      </c>
      <c r="U54" s="131">
        <v>27641.98</v>
      </c>
      <c r="V54" s="130">
        <f t="shared" si="16"/>
        <v>129864.98</v>
      </c>
      <c r="W54" s="130"/>
      <c r="X54" s="130">
        <v>5136.99</v>
      </c>
      <c r="Y54" s="130">
        <f t="shared" si="26"/>
        <v>5136.99</v>
      </c>
      <c r="Z54" s="130"/>
      <c r="AA54" s="130">
        <v>9863.01</v>
      </c>
      <c r="AB54" s="130">
        <f t="shared" si="27"/>
        <v>9863.01</v>
      </c>
      <c r="AC54" s="130">
        <f>AD54+AE54</f>
        <v>38164.879999999997</v>
      </c>
      <c r="AD54" s="130">
        <v>24788.46</v>
      </c>
      <c r="AE54" s="130">
        <v>13376.42</v>
      </c>
      <c r="AF54" s="130"/>
      <c r="AG54" s="130"/>
      <c r="AH54" s="130"/>
      <c r="AI54" s="88">
        <v>12</v>
      </c>
      <c r="AJ54" s="120"/>
      <c r="AK54" s="120"/>
      <c r="AL54" s="120"/>
    </row>
    <row r="55" spans="1:41" ht="11.4" customHeight="1">
      <c r="A55" s="88"/>
      <c r="B55" s="115">
        <f>SUM(B52:B54)</f>
        <v>139578</v>
      </c>
      <c r="C55" s="115">
        <f t="shared" ref="C55:AE55" si="28">SUM(C52:C54)</f>
        <v>12759.35</v>
      </c>
      <c r="D55" s="115">
        <f t="shared" si="28"/>
        <v>152337.35</v>
      </c>
      <c r="E55" s="115">
        <f t="shared" si="28"/>
        <v>125761.5</v>
      </c>
      <c r="F55" s="115">
        <f t="shared" si="28"/>
        <v>102003.67</v>
      </c>
      <c r="G55" s="115">
        <f t="shared" si="28"/>
        <v>23757.83</v>
      </c>
      <c r="H55" s="115">
        <f t="shared" si="28"/>
        <v>159251.07</v>
      </c>
      <c r="I55" s="115">
        <f t="shared" si="28"/>
        <v>129166.64</v>
      </c>
      <c r="J55" s="115">
        <f t="shared" si="28"/>
        <v>30084.43</v>
      </c>
      <c r="K55" s="115">
        <f t="shared" si="28"/>
        <v>0</v>
      </c>
      <c r="L55" s="115">
        <f t="shared" si="28"/>
        <v>0</v>
      </c>
      <c r="M55" s="115">
        <f t="shared" si="28"/>
        <v>0</v>
      </c>
      <c r="N55" s="115">
        <f t="shared" si="28"/>
        <v>137502</v>
      </c>
      <c r="O55" s="115">
        <f t="shared" si="28"/>
        <v>24567.78</v>
      </c>
      <c r="P55" s="115">
        <f t="shared" si="28"/>
        <v>162069.78</v>
      </c>
      <c r="Q55" s="115">
        <f t="shared" si="28"/>
        <v>0</v>
      </c>
      <c r="R55" s="115">
        <f t="shared" si="28"/>
        <v>0</v>
      </c>
      <c r="S55" s="115">
        <f t="shared" si="28"/>
        <v>0</v>
      </c>
      <c r="T55" s="115">
        <f t="shared" si="28"/>
        <v>306669</v>
      </c>
      <c r="U55" s="115">
        <f t="shared" si="28"/>
        <v>85631.33</v>
      </c>
      <c r="V55" s="115">
        <f t="shared" si="28"/>
        <v>392300.33</v>
      </c>
      <c r="W55" s="115">
        <f t="shared" si="28"/>
        <v>0</v>
      </c>
      <c r="X55" s="115">
        <f t="shared" si="28"/>
        <v>15582.2</v>
      </c>
      <c r="Y55" s="115">
        <f t="shared" si="28"/>
        <v>15582.2</v>
      </c>
      <c r="Z55" s="115">
        <f t="shared" si="28"/>
        <v>0</v>
      </c>
      <c r="AA55" s="115">
        <f t="shared" si="28"/>
        <v>29917.8</v>
      </c>
      <c r="AB55" s="115">
        <f t="shared" si="28"/>
        <v>29917.8</v>
      </c>
      <c r="AC55" s="115">
        <f t="shared" si="28"/>
        <v>114494.64</v>
      </c>
      <c r="AD55" s="115">
        <f t="shared" si="28"/>
        <v>73752.47</v>
      </c>
      <c r="AE55" s="115">
        <f t="shared" si="28"/>
        <v>40742.17</v>
      </c>
      <c r="AF55" s="115"/>
      <c r="AG55" s="115"/>
      <c r="AH55" s="115"/>
      <c r="AI55" s="114" t="s">
        <v>471</v>
      </c>
      <c r="AJ55" s="120">
        <f>B55+F55+I55+K55+N55+Q55+T55+W55+Z55+AD55</f>
        <v>888671.78</v>
      </c>
      <c r="AK55" s="121">
        <f>C55+G55+J55+L55+O55+R55+U55+X55+AA55+AE55</f>
        <v>263042.89</v>
      </c>
      <c r="AL55" s="120">
        <f>D55+E55+H55+M55+P55+S55+V55+Y55+AB55+AC55</f>
        <v>1151714.67</v>
      </c>
    </row>
    <row r="56" spans="1:41" ht="11.4" customHeight="1">
      <c r="A56" s="135" t="s">
        <v>474</v>
      </c>
      <c r="B56" s="111">
        <f>B43+B47+B51+B55</f>
        <v>558312</v>
      </c>
      <c r="C56" s="111">
        <f t="shared" ref="C56:AA56" si="29">C43+C47+C51+C55</f>
        <v>61821.31</v>
      </c>
      <c r="D56" s="111">
        <f t="shared" si="29"/>
        <v>620133.31000000006</v>
      </c>
      <c r="E56" s="111">
        <f t="shared" si="29"/>
        <v>503046</v>
      </c>
      <c r="F56" s="111">
        <f t="shared" si="29"/>
        <v>397549.59</v>
      </c>
      <c r="G56" s="111">
        <f t="shared" si="29"/>
        <v>105496.41</v>
      </c>
      <c r="H56" s="111">
        <f t="shared" si="29"/>
        <v>637004.28</v>
      </c>
      <c r="I56" s="111">
        <f t="shared" si="29"/>
        <v>503414.68</v>
      </c>
      <c r="J56" s="111">
        <f t="shared" si="29"/>
        <v>133589.6</v>
      </c>
      <c r="K56" s="111">
        <f t="shared" si="29"/>
        <v>0</v>
      </c>
      <c r="L56" s="111">
        <f t="shared" si="29"/>
        <v>0</v>
      </c>
      <c r="M56" s="111">
        <f t="shared" si="29"/>
        <v>0</v>
      </c>
      <c r="N56" s="111">
        <f t="shared" si="29"/>
        <v>550008</v>
      </c>
      <c r="O56" s="111">
        <f t="shared" si="29"/>
        <v>109158.26</v>
      </c>
      <c r="P56" s="111">
        <f t="shared" si="29"/>
        <v>659166.26</v>
      </c>
      <c r="Q56" s="111">
        <f t="shared" si="29"/>
        <v>2000000</v>
      </c>
      <c r="R56" s="111">
        <f t="shared" si="29"/>
        <v>91287.67</v>
      </c>
      <c r="S56" s="111">
        <f t="shared" si="29"/>
        <v>2091287.67</v>
      </c>
      <c r="T56" s="111">
        <f>T43+T47+T51+T55</f>
        <v>817784</v>
      </c>
      <c r="U56" s="111">
        <f>U43+U47+U51+U55</f>
        <v>370716.44</v>
      </c>
      <c r="V56" s="111">
        <f t="shared" si="29"/>
        <v>1188500.44</v>
      </c>
      <c r="W56" s="111">
        <f t="shared" si="29"/>
        <v>0</v>
      </c>
      <c r="X56" s="111">
        <f t="shared" si="29"/>
        <v>41952.07</v>
      </c>
      <c r="Y56" s="111">
        <f>Y43+Y47+Y51+Y55</f>
        <v>41952.07</v>
      </c>
      <c r="Z56" s="111">
        <f t="shared" si="29"/>
        <v>0</v>
      </c>
      <c r="AA56" s="111">
        <f t="shared" si="29"/>
        <v>31890.400000000001</v>
      </c>
      <c r="AB56" s="111">
        <f>AB43+AB47+AB51+AB55</f>
        <v>31890.400000000001</v>
      </c>
      <c r="AC56" s="111">
        <f t="shared" ref="AC56:AE56" si="30">AC43+AC47+AC51+AC55</f>
        <v>343483.92</v>
      </c>
      <c r="AD56" s="111">
        <f t="shared" si="30"/>
        <v>215861.48</v>
      </c>
      <c r="AE56" s="111">
        <f t="shared" si="30"/>
        <v>127622.44</v>
      </c>
      <c r="AF56" s="137"/>
      <c r="AG56" s="137"/>
      <c r="AH56" s="137"/>
      <c r="AI56" s="135" t="s">
        <v>474</v>
      </c>
      <c r="AJ56" s="120">
        <f>B56+F56+I56+K56+N56+Q56+T56+W56+Z56+AD56</f>
        <v>5042929.75</v>
      </c>
      <c r="AK56" s="120">
        <f>C56+G56+J56+L56+O56+R56+U56+X56+AA56+AE56</f>
        <v>1073534.6000000001</v>
      </c>
      <c r="AL56" s="120">
        <f>D56+E56+H56+M56+P56+S56+V56+Y56+AB56+AC56</f>
        <v>6116464.3499999996</v>
      </c>
      <c r="AO56" s="184"/>
    </row>
    <row r="57" spans="1:41" ht="11.4" customHeight="1">
      <c r="A57" s="88" t="s">
        <v>475</v>
      </c>
      <c r="B57" s="98">
        <v>46526</v>
      </c>
      <c r="C57" s="92">
        <v>3951.44</v>
      </c>
      <c r="D57" s="92">
        <f t="shared" si="9"/>
        <v>50477.440000000002</v>
      </c>
      <c r="E57" s="92">
        <v>41920.5</v>
      </c>
      <c r="F57" s="92">
        <v>34398.67</v>
      </c>
      <c r="G57" s="93">
        <f t="shared" si="8"/>
        <v>7521.83</v>
      </c>
      <c r="H57" s="142">
        <v>53083.69</v>
      </c>
      <c r="I57" s="92">
        <v>43558.84</v>
      </c>
      <c r="J57" s="95">
        <f t="shared" si="7"/>
        <v>9524.85</v>
      </c>
      <c r="K57" s="140"/>
      <c r="L57" s="140"/>
      <c r="M57" s="141"/>
      <c r="N57" s="122">
        <v>45834</v>
      </c>
      <c r="O57" s="90">
        <v>7979.97</v>
      </c>
      <c r="P57" s="91">
        <f t="shared" si="13"/>
        <v>53813.97</v>
      </c>
      <c r="Q57" s="123"/>
      <c r="R57" s="124"/>
      <c r="S57" s="125"/>
      <c r="T57" s="130">
        <v>102223</v>
      </c>
      <c r="U57" s="131">
        <v>27955.64</v>
      </c>
      <c r="V57" s="130">
        <f t="shared" si="16"/>
        <v>130178.64</v>
      </c>
      <c r="W57" s="130"/>
      <c r="X57" s="130">
        <v>5308.22</v>
      </c>
      <c r="Y57" s="130">
        <f>W57+X57</f>
        <v>5308.22</v>
      </c>
      <c r="Z57" s="130"/>
      <c r="AA57" s="130">
        <v>10191.780000000001</v>
      </c>
      <c r="AB57" s="130">
        <f>Z57+AA57</f>
        <v>10191.780000000001</v>
      </c>
      <c r="AC57" s="130">
        <f>AD57+AE57</f>
        <v>38164.879999999997</v>
      </c>
      <c r="AD57" s="130">
        <v>24995.03</v>
      </c>
      <c r="AE57" s="130">
        <v>13169.85</v>
      </c>
      <c r="AF57" s="130"/>
      <c r="AG57" s="130"/>
      <c r="AH57" s="130"/>
      <c r="AI57" s="88" t="s">
        <v>475</v>
      </c>
      <c r="AJ57" s="120">
        <f>AJ43+AJ47+AJ51+AJ55</f>
        <v>5042929.75</v>
      </c>
      <c r="AK57" s="120">
        <f t="shared" ref="AK57:AL57" si="31">AK43+AK47+AK51+AK55</f>
        <v>1073534.6000000001</v>
      </c>
      <c r="AL57" s="120">
        <f t="shared" si="31"/>
        <v>6116464.3499999996</v>
      </c>
    </row>
    <row r="58" spans="1:41" ht="11.4" customHeight="1">
      <c r="A58" s="88">
        <v>2</v>
      </c>
      <c r="B58" s="98">
        <v>46526</v>
      </c>
      <c r="C58" s="92">
        <v>3753.86</v>
      </c>
      <c r="D58" s="92">
        <f t="shared" si="9"/>
        <v>50279.86</v>
      </c>
      <c r="E58" s="92">
        <v>41920.5</v>
      </c>
      <c r="F58" s="92">
        <v>34599.33</v>
      </c>
      <c r="G58" s="93">
        <f t="shared" si="8"/>
        <v>7321.17</v>
      </c>
      <c r="H58" s="142">
        <v>53083.69</v>
      </c>
      <c r="I58" s="92">
        <v>43812.93</v>
      </c>
      <c r="J58" s="95">
        <f t="shared" si="7"/>
        <v>9270.76</v>
      </c>
      <c r="K58" s="140"/>
      <c r="L58" s="140"/>
      <c r="M58" s="141"/>
      <c r="N58" s="122">
        <v>45834</v>
      </c>
      <c r="O58" s="90">
        <v>7785.33</v>
      </c>
      <c r="P58" s="91">
        <f t="shared" si="13"/>
        <v>53619.33</v>
      </c>
      <c r="Q58" s="123"/>
      <c r="R58" s="124"/>
      <c r="S58" s="125"/>
      <c r="T58" s="130">
        <v>102223</v>
      </c>
      <c r="U58" s="131">
        <v>27347.9</v>
      </c>
      <c r="V58" s="130">
        <f t="shared" si="16"/>
        <v>129570.9</v>
      </c>
      <c r="W58" s="130"/>
      <c r="X58" s="130">
        <v>5308.22</v>
      </c>
      <c r="Y58" s="130">
        <f t="shared" ref="Y58:Y59" si="32">W58+X58</f>
        <v>5308.22</v>
      </c>
      <c r="Z58" s="130"/>
      <c r="AA58" s="130">
        <v>10191.780000000001</v>
      </c>
      <c r="AB58" s="130">
        <f t="shared" ref="AB58:AB66" si="33">Z58+AA58</f>
        <v>10191.780000000001</v>
      </c>
      <c r="AC58" s="130">
        <f t="shared" ref="AC58:AC71" si="34">AD58+AE58</f>
        <v>38164.879999999997</v>
      </c>
      <c r="AD58" s="130">
        <v>25203.32</v>
      </c>
      <c r="AE58" s="130">
        <v>12961.56</v>
      </c>
      <c r="AF58" s="130"/>
      <c r="AG58" s="130"/>
      <c r="AH58" s="130"/>
      <c r="AI58" s="88">
        <v>2</v>
      </c>
      <c r="AJ58" s="120"/>
      <c r="AK58" s="120"/>
      <c r="AL58" s="120"/>
    </row>
    <row r="59" spans="1:41" ht="11.4" customHeight="1">
      <c r="A59" s="88">
        <v>3</v>
      </c>
      <c r="B59" s="98">
        <v>46526</v>
      </c>
      <c r="C59" s="92">
        <v>3212.13</v>
      </c>
      <c r="D59" s="92">
        <f t="shared" si="9"/>
        <v>49738.13</v>
      </c>
      <c r="E59" s="92">
        <v>41920.5</v>
      </c>
      <c r="F59" s="92">
        <v>34801.160000000003</v>
      </c>
      <c r="G59" s="93">
        <f t="shared" si="8"/>
        <v>7119.34</v>
      </c>
      <c r="H59" s="142">
        <v>53083.69</v>
      </c>
      <c r="I59" s="92">
        <v>44068.5</v>
      </c>
      <c r="J59" s="95">
        <f t="shared" si="7"/>
        <v>9015.19</v>
      </c>
      <c r="K59" s="140"/>
      <c r="L59" s="140"/>
      <c r="M59" s="141"/>
      <c r="N59" s="122">
        <v>45834</v>
      </c>
      <c r="O59" s="90">
        <v>6856.11</v>
      </c>
      <c r="P59" s="91">
        <f t="shared" si="13"/>
        <v>52690.11</v>
      </c>
      <c r="Q59" s="123"/>
      <c r="R59" s="124"/>
      <c r="S59" s="125"/>
      <c r="T59" s="130">
        <v>102223</v>
      </c>
      <c r="U59" s="131">
        <v>24152.41</v>
      </c>
      <c r="V59" s="130">
        <f t="shared" si="16"/>
        <v>126375.41</v>
      </c>
      <c r="W59" s="130">
        <v>2500000</v>
      </c>
      <c r="X59" s="130">
        <f>4794.52+5136.99</f>
        <v>9931.51</v>
      </c>
      <c r="Y59" s="130">
        <f t="shared" si="32"/>
        <v>2509931.5099999998</v>
      </c>
      <c r="Z59" s="130"/>
      <c r="AA59" s="130">
        <v>9205.48</v>
      </c>
      <c r="AB59" s="130">
        <f t="shared" si="33"/>
        <v>9205.48</v>
      </c>
      <c r="AC59" s="130">
        <f t="shared" si="34"/>
        <v>38164.879999999997</v>
      </c>
      <c r="AD59" s="130">
        <v>25413.35</v>
      </c>
      <c r="AE59" s="130">
        <v>12751.53</v>
      </c>
      <c r="AF59" s="230"/>
      <c r="AG59" s="130"/>
      <c r="AH59" s="130"/>
      <c r="AI59" s="88">
        <v>3</v>
      </c>
      <c r="AJ59" s="120"/>
      <c r="AK59" s="120"/>
      <c r="AL59" s="120"/>
    </row>
    <row r="60" spans="1:41" ht="11.4" customHeight="1">
      <c r="A60" s="88"/>
      <c r="B60" s="134">
        <f t="shared" ref="B60:V60" si="35">SUM(B57:B59)</f>
        <v>139578</v>
      </c>
      <c r="C60" s="134">
        <f t="shared" si="35"/>
        <v>10917.43</v>
      </c>
      <c r="D60" s="134">
        <f t="shared" si="35"/>
        <v>150495.43</v>
      </c>
      <c r="E60" s="134">
        <f t="shared" si="35"/>
        <v>125761.5</v>
      </c>
      <c r="F60" s="134">
        <f t="shared" si="35"/>
        <v>103799.16</v>
      </c>
      <c r="G60" s="134">
        <f t="shared" si="35"/>
        <v>21962.34</v>
      </c>
      <c r="H60" s="134">
        <f t="shared" si="35"/>
        <v>159251.07</v>
      </c>
      <c r="I60" s="134">
        <f t="shared" si="35"/>
        <v>131440.26999999999</v>
      </c>
      <c r="J60" s="134">
        <f t="shared" si="35"/>
        <v>27810.799999999999</v>
      </c>
      <c r="K60" s="134">
        <f t="shared" si="35"/>
        <v>0</v>
      </c>
      <c r="L60" s="134">
        <f t="shared" si="35"/>
        <v>0</v>
      </c>
      <c r="M60" s="134">
        <f t="shared" si="35"/>
        <v>0</v>
      </c>
      <c r="N60" s="134">
        <f t="shared" si="35"/>
        <v>137502</v>
      </c>
      <c r="O60" s="134">
        <f t="shared" si="35"/>
        <v>22621.41</v>
      </c>
      <c r="P60" s="134">
        <f t="shared" si="35"/>
        <v>160123.41</v>
      </c>
      <c r="Q60" s="134">
        <f t="shared" si="35"/>
        <v>0</v>
      </c>
      <c r="R60" s="134">
        <f t="shared" si="35"/>
        <v>0</v>
      </c>
      <c r="S60" s="134">
        <f t="shared" si="35"/>
        <v>0</v>
      </c>
      <c r="T60" s="134">
        <f t="shared" si="35"/>
        <v>306669</v>
      </c>
      <c r="U60" s="134">
        <f t="shared" si="35"/>
        <v>79455.95</v>
      </c>
      <c r="V60" s="134">
        <f t="shared" si="35"/>
        <v>386124.95</v>
      </c>
      <c r="W60" s="134">
        <f>SUM(W57:W59)</f>
        <v>2500000</v>
      </c>
      <c r="X60" s="134">
        <f t="shared" ref="X60:AE60" si="36">SUM(X57:X59)</f>
        <v>20547.95</v>
      </c>
      <c r="Y60" s="134">
        <f t="shared" si="36"/>
        <v>2520547.9500000002</v>
      </c>
      <c r="Z60" s="134">
        <f t="shared" si="36"/>
        <v>0</v>
      </c>
      <c r="AA60" s="134">
        <f t="shared" si="36"/>
        <v>29589.040000000001</v>
      </c>
      <c r="AB60" s="134">
        <f t="shared" si="36"/>
        <v>29589.040000000001</v>
      </c>
      <c r="AC60" s="134">
        <f t="shared" si="36"/>
        <v>114494.64</v>
      </c>
      <c r="AD60" s="134">
        <f t="shared" si="36"/>
        <v>75611.7</v>
      </c>
      <c r="AE60" s="134">
        <f t="shared" si="36"/>
        <v>38882.94</v>
      </c>
      <c r="AF60" s="134"/>
      <c r="AG60" s="134"/>
      <c r="AH60" s="134"/>
      <c r="AI60" s="88"/>
      <c r="AJ60" s="120">
        <f>B60+F60+I60+K60+N60+Q60+T60+W60+Z60+AD60+AF60</f>
        <v>3394600.13</v>
      </c>
      <c r="AK60" s="121">
        <f t="shared" ref="AK60:AK64" si="37">C60+G60+J60+L60+O60+R60+U60+X60+AA60+AE60+AG60</f>
        <v>251787.86</v>
      </c>
      <c r="AL60" s="120">
        <f t="shared" ref="AL60:AL64" si="38">D60+E60+H60+M60+P60+S60+V60+Y60+AB60+AC60+AH60</f>
        <v>3646387.99</v>
      </c>
    </row>
    <row r="61" spans="1:41" ht="11.4" customHeight="1">
      <c r="A61" s="88">
        <v>4</v>
      </c>
      <c r="B61" s="98">
        <v>46526</v>
      </c>
      <c r="C61" s="92">
        <v>3358.71</v>
      </c>
      <c r="D61" s="92">
        <f t="shared" si="9"/>
        <v>49884.71</v>
      </c>
      <c r="E61" s="92">
        <v>41920.5</v>
      </c>
      <c r="F61" s="92">
        <v>35004.17</v>
      </c>
      <c r="G61" s="93">
        <f t="shared" si="8"/>
        <v>6916.33</v>
      </c>
      <c r="H61" s="142">
        <v>53083.69</v>
      </c>
      <c r="I61" s="92">
        <v>44325.57</v>
      </c>
      <c r="J61" s="95">
        <f t="shared" si="7"/>
        <v>8758.1200000000008</v>
      </c>
      <c r="K61" s="140"/>
      <c r="L61" s="140"/>
      <c r="M61" s="141"/>
      <c r="N61" s="122">
        <v>45834</v>
      </c>
      <c r="O61" s="90">
        <v>7396.06</v>
      </c>
      <c r="P61" s="91">
        <f t="shared" si="13"/>
        <v>53230.06</v>
      </c>
      <c r="Q61" s="123"/>
      <c r="R61" s="124"/>
      <c r="S61" s="125"/>
      <c r="T61" s="130">
        <v>102223</v>
      </c>
      <c r="U61" s="131">
        <v>26132.43</v>
      </c>
      <c r="V61" s="130">
        <f t="shared" si="16"/>
        <v>128355.43</v>
      </c>
      <c r="W61" s="130"/>
      <c r="X61" s="130"/>
      <c r="Y61" s="130"/>
      <c r="Z61" s="130"/>
      <c r="AA61" s="130">
        <v>10191.780000000001</v>
      </c>
      <c r="AB61" s="130">
        <f t="shared" si="33"/>
        <v>10191.780000000001</v>
      </c>
      <c r="AC61" s="130">
        <f t="shared" si="34"/>
        <v>38164.879999999997</v>
      </c>
      <c r="AD61" s="130">
        <v>25625.119999999999</v>
      </c>
      <c r="AE61" s="130">
        <v>12539.76</v>
      </c>
      <c r="AF61" s="130"/>
      <c r="AG61" s="130">
        <v>5308.22</v>
      </c>
      <c r="AH61" s="130">
        <f>AF61+AG61</f>
        <v>5308.22</v>
      </c>
      <c r="AI61" s="88">
        <v>4</v>
      </c>
      <c r="AJ61" s="120"/>
      <c r="AK61" s="121"/>
      <c r="AL61" s="120"/>
    </row>
    <row r="62" spans="1:41" ht="11.4" customHeight="1">
      <c r="A62" s="88">
        <v>5</v>
      </c>
      <c r="B62" s="98">
        <v>46526</v>
      </c>
      <c r="C62" s="92">
        <v>3059.16</v>
      </c>
      <c r="D62" s="92">
        <f t="shared" si="9"/>
        <v>49585.16</v>
      </c>
      <c r="E62" s="92">
        <v>41920.5</v>
      </c>
      <c r="F62" s="92">
        <v>35208.36</v>
      </c>
      <c r="G62" s="93">
        <f t="shared" si="8"/>
        <v>6712.14</v>
      </c>
      <c r="H62" s="142">
        <v>53083.69</v>
      </c>
      <c r="I62" s="92">
        <v>44584.14</v>
      </c>
      <c r="J62" s="95">
        <f t="shared" si="7"/>
        <v>8499.5499999999993</v>
      </c>
      <c r="K62" s="140"/>
      <c r="L62" s="140"/>
      <c r="M62" s="141"/>
      <c r="N62" s="122">
        <v>45834</v>
      </c>
      <c r="O62" s="90">
        <v>6969.12</v>
      </c>
      <c r="P62" s="91">
        <f t="shared" si="13"/>
        <v>52803.12</v>
      </c>
      <c r="Q62" s="123"/>
      <c r="R62" s="124"/>
      <c r="S62" s="125"/>
      <c r="T62" s="130">
        <v>102223</v>
      </c>
      <c r="U62" s="131">
        <v>24701.32</v>
      </c>
      <c r="V62" s="130">
        <f t="shared" si="16"/>
        <v>126924.32</v>
      </c>
      <c r="W62" s="130"/>
      <c r="X62" s="130"/>
      <c r="Y62" s="130"/>
      <c r="Z62" s="130"/>
      <c r="AA62" s="130">
        <v>9863.01</v>
      </c>
      <c r="AB62" s="130">
        <f t="shared" si="33"/>
        <v>9863.01</v>
      </c>
      <c r="AC62" s="130">
        <f t="shared" si="34"/>
        <v>38164.879999999997</v>
      </c>
      <c r="AD62" s="130">
        <v>25838.67</v>
      </c>
      <c r="AE62" s="130">
        <v>12326.21</v>
      </c>
      <c r="AF62" s="130"/>
      <c r="AG62" s="130">
        <v>5308.22</v>
      </c>
      <c r="AH62" s="130">
        <f t="shared" ref="AH62:AH63" si="39">AF62+AG62</f>
        <v>5308.22</v>
      </c>
      <c r="AI62" s="88">
        <v>5</v>
      </c>
      <c r="AJ62" s="120"/>
      <c r="AK62" s="121"/>
      <c r="AL62" s="120"/>
    </row>
    <row r="63" spans="1:41" ht="11.4" customHeight="1">
      <c r="A63" s="88">
        <v>6</v>
      </c>
      <c r="B63" s="98">
        <v>46526</v>
      </c>
      <c r="C63" s="92">
        <v>2963.56</v>
      </c>
      <c r="D63" s="92">
        <f t="shared" si="9"/>
        <v>49489.56</v>
      </c>
      <c r="E63" s="92">
        <v>41920.5</v>
      </c>
      <c r="F63" s="92">
        <v>35413.74</v>
      </c>
      <c r="G63" s="93">
        <f t="shared" si="8"/>
        <v>6506.76</v>
      </c>
      <c r="H63" s="142">
        <v>53083.69</v>
      </c>
      <c r="I63" s="92">
        <v>44844.21</v>
      </c>
      <c r="J63" s="95">
        <f t="shared" si="7"/>
        <v>8239.48</v>
      </c>
      <c r="K63" s="140"/>
      <c r="L63" s="140"/>
      <c r="M63" s="141"/>
      <c r="N63" s="122">
        <v>45834</v>
      </c>
      <c r="O63" s="90">
        <v>7006.78</v>
      </c>
      <c r="P63" s="91">
        <f t="shared" si="13"/>
        <v>52840.78</v>
      </c>
      <c r="Q63" s="123"/>
      <c r="R63" s="124"/>
      <c r="S63" s="125"/>
      <c r="T63" s="130">
        <v>102223</v>
      </c>
      <c r="U63" s="131">
        <v>24916.959999999999</v>
      </c>
      <c r="V63" s="130">
        <f t="shared" si="16"/>
        <v>127139.96</v>
      </c>
      <c r="W63" s="130"/>
      <c r="X63" s="130"/>
      <c r="Y63" s="130"/>
      <c r="Z63" s="130"/>
      <c r="AA63" s="130">
        <v>10191.780000000001</v>
      </c>
      <c r="AB63" s="130">
        <f t="shared" si="33"/>
        <v>10191.780000000001</v>
      </c>
      <c r="AC63" s="130">
        <f t="shared" si="34"/>
        <v>38164.879999999997</v>
      </c>
      <c r="AD63" s="130">
        <v>26053.99</v>
      </c>
      <c r="AE63" s="130">
        <v>12110.89</v>
      </c>
      <c r="AF63" s="130"/>
      <c r="AG63" s="130">
        <v>5136.99</v>
      </c>
      <c r="AH63" s="130">
        <f t="shared" si="39"/>
        <v>5136.99</v>
      </c>
      <c r="AI63" s="88">
        <v>6</v>
      </c>
      <c r="AJ63" s="120"/>
      <c r="AK63" s="121"/>
      <c r="AL63" s="120"/>
    </row>
    <row r="64" spans="1:41" ht="11.4" customHeight="1">
      <c r="A64" s="88"/>
      <c r="B64" s="115">
        <f>SUM(B61:B63)</f>
        <v>139578</v>
      </c>
      <c r="C64" s="115">
        <f t="shared" ref="C64:AH64" si="40">SUM(C61:C63)</f>
        <v>9381.43</v>
      </c>
      <c r="D64" s="115">
        <f t="shared" si="40"/>
        <v>148959.43</v>
      </c>
      <c r="E64" s="115">
        <f t="shared" si="40"/>
        <v>125761.5</v>
      </c>
      <c r="F64" s="115">
        <f t="shared" si="40"/>
        <v>105626.27</v>
      </c>
      <c r="G64" s="115">
        <f t="shared" si="40"/>
        <v>20135.23</v>
      </c>
      <c r="H64" s="115">
        <f t="shared" si="40"/>
        <v>159251.07</v>
      </c>
      <c r="I64" s="115">
        <f t="shared" si="40"/>
        <v>133753.92000000001</v>
      </c>
      <c r="J64" s="115">
        <f t="shared" si="40"/>
        <v>25497.15</v>
      </c>
      <c r="K64" s="115">
        <f t="shared" si="40"/>
        <v>0</v>
      </c>
      <c r="L64" s="115">
        <f t="shared" si="40"/>
        <v>0</v>
      </c>
      <c r="M64" s="115">
        <f t="shared" si="40"/>
        <v>0</v>
      </c>
      <c r="N64" s="115">
        <f t="shared" si="40"/>
        <v>137502</v>
      </c>
      <c r="O64" s="115">
        <f t="shared" si="40"/>
        <v>21371.96</v>
      </c>
      <c r="P64" s="115">
        <f t="shared" si="40"/>
        <v>158873.96</v>
      </c>
      <c r="Q64" s="115">
        <f t="shared" si="40"/>
        <v>0</v>
      </c>
      <c r="R64" s="115">
        <f t="shared" si="40"/>
        <v>0</v>
      </c>
      <c r="S64" s="115">
        <f t="shared" si="40"/>
        <v>0</v>
      </c>
      <c r="T64" s="115">
        <f t="shared" si="40"/>
        <v>306669</v>
      </c>
      <c r="U64" s="115">
        <f t="shared" si="40"/>
        <v>75750.710000000006</v>
      </c>
      <c r="V64" s="115">
        <f t="shared" si="40"/>
        <v>382419.71</v>
      </c>
      <c r="W64" s="115">
        <f t="shared" si="40"/>
        <v>0</v>
      </c>
      <c r="X64" s="115">
        <f t="shared" si="40"/>
        <v>0</v>
      </c>
      <c r="Y64" s="115">
        <f t="shared" si="40"/>
        <v>0</v>
      </c>
      <c r="Z64" s="115">
        <f t="shared" si="40"/>
        <v>0</v>
      </c>
      <c r="AA64" s="115">
        <f t="shared" si="40"/>
        <v>30246.57</v>
      </c>
      <c r="AB64" s="115">
        <f t="shared" si="40"/>
        <v>30246.57</v>
      </c>
      <c r="AC64" s="115">
        <f t="shared" si="40"/>
        <v>114494.64</v>
      </c>
      <c r="AD64" s="115">
        <f t="shared" si="40"/>
        <v>77517.78</v>
      </c>
      <c r="AE64" s="115">
        <f t="shared" si="40"/>
        <v>36976.86</v>
      </c>
      <c r="AF64" s="115">
        <f t="shared" si="40"/>
        <v>0</v>
      </c>
      <c r="AG64" s="115">
        <f t="shared" si="40"/>
        <v>15753.43</v>
      </c>
      <c r="AH64" s="115">
        <f t="shared" si="40"/>
        <v>15753.43</v>
      </c>
      <c r="AI64" s="88"/>
      <c r="AJ64" s="120">
        <f>B64+F64+I64+K64+N64+Q64+T64+W64+Z64+AD64+AF64</f>
        <v>900646.97</v>
      </c>
      <c r="AK64" s="121">
        <f t="shared" si="37"/>
        <v>235113.34</v>
      </c>
      <c r="AL64" s="120">
        <f t="shared" si="38"/>
        <v>1135760.31</v>
      </c>
    </row>
    <row r="65" spans="1:38" ht="11.4" customHeight="1">
      <c r="A65" s="88">
        <v>7</v>
      </c>
      <c r="B65" s="98">
        <v>46526</v>
      </c>
      <c r="C65" s="92">
        <v>2676.76</v>
      </c>
      <c r="D65" s="92">
        <f t="shared" si="9"/>
        <v>49202.76</v>
      </c>
      <c r="E65" s="92">
        <v>41920.5</v>
      </c>
      <c r="F65" s="92">
        <v>35620.32</v>
      </c>
      <c r="G65" s="93">
        <f t="shared" si="8"/>
        <v>6300.18</v>
      </c>
      <c r="H65" s="142">
        <v>53083.69</v>
      </c>
      <c r="I65" s="92">
        <v>45105.8</v>
      </c>
      <c r="J65" s="95">
        <f t="shared" si="7"/>
        <v>7977.89</v>
      </c>
      <c r="K65" s="140"/>
      <c r="L65" s="140"/>
      <c r="M65" s="141"/>
      <c r="N65" s="122">
        <v>45834</v>
      </c>
      <c r="O65" s="90">
        <v>6592.4</v>
      </c>
      <c r="P65" s="91">
        <f t="shared" si="13"/>
        <v>52426.400000000001</v>
      </c>
      <c r="Q65" s="123"/>
      <c r="R65" s="124"/>
      <c r="S65" s="125"/>
      <c r="T65" s="130">
        <v>102223</v>
      </c>
      <c r="U65" s="131">
        <v>23525.05</v>
      </c>
      <c r="V65" s="130">
        <f t="shared" si="16"/>
        <v>125748.05</v>
      </c>
      <c r="W65" s="130"/>
      <c r="X65" s="130"/>
      <c r="Y65" s="130"/>
      <c r="Z65" s="130"/>
      <c r="AA65" s="130">
        <v>9863.01</v>
      </c>
      <c r="AB65" s="130">
        <f t="shared" si="33"/>
        <v>9863.01</v>
      </c>
      <c r="AC65" s="130">
        <f t="shared" si="34"/>
        <v>38164.879999999997</v>
      </c>
      <c r="AD65" s="130">
        <v>26271.1</v>
      </c>
      <c r="AE65" s="130">
        <v>11893.78</v>
      </c>
      <c r="AF65" s="130"/>
      <c r="AG65" s="130">
        <v>5308.22</v>
      </c>
      <c r="AH65" s="130">
        <f>AF65+AG65</f>
        <v>5308.22</v>
      </c>
      <c r="AI65" s="88">
        <v>7</v>
      </c>
      <c r="AJ65" s="120"/>
      <c r="AK65" s="121"/>
      <c r="AL65" s="120"/>
    </row>
    <row r="66" spans="1:38" ht="11.4" customHeight="1">
      <c r="A66" s="88">
        <v>8</v>
      </c>
      <c r="B66" s="98">
        <v>46526</v>
      </c>
      <c r="C66" s="92">
        <v>2568.41</v>
      </c>
      <c r="D66" s="92">
        <f t="shared" si="9"/>
        <v>49094.41</v>
      </c>
      <c r="E66" s="92">
        <v>41920.5</v>
      </c>
      <c r="F66" s="92">
        <v>35828.11</v>
      </c>
      <c r="G66" s="93">
        <f t="shared" si="8"/>
        <v>6092.39</v>
      </c>
      <c r="H66" s="142">
        <v>53083.69</v>
      </c>
      <c r="I66" s="92">
        <v>45368.92</v>
      </c>
      <c r="J66" s="95">
        <f t="shared" si="7"/>
        <v>7714.77</v>
      </c>
      <c r="K66" s="140"/>
      <c r="L66" s="140"/>
      <c r="M66" s="141"/>
      <c r="N66" s="122">
        <v>45834</v>
      </c>
      <c r="O66" s="90">
        <v>6617.51</v>
      </c>
      <c r="P66" s="91">
        <f t="shared" si="13"/>
        <v>52451.51</v>
      </c>
      <c r="Q66" s="123"/>
      <c r="R66" s="124"/>
      <c r="S66" s="125"/>
      <c r="T66" s="130">
        <v>102223</v>
      </c>
      <c r="U66" s="131">
        <v>23701.48</v>
      </c>
      <c r="V66" s="130">
        <f t="shared" si="16"/>
        <v>125924.48</v>
      </c>
      <c r="W66" s="130"/>
      <c r="X66" s="130"/>
      <c r="Y66" s="130"/>
      <c r="Z66" s="130">
        <v>2000000</v>
      </c>
      <c r="AA66" s="130">
        <f>10191.78+8219.18</f>
        <v>18410.96</v>
      </c>
      <c r="AB66" s="130">
        <f t="shared" si="33"/>
        <v>2018410.96</v>
      </c>
      <c r="AC66" s="130">
        <f t="shared" si="34"/>
        <v>38164.879999999997</v>
      </c>
      <c r="AD66" s="130">
        <v>26490.03</v>
      </c>
      <c r="AE66" s="130">
        <v>11674.85</v>
      </c>
      <c r="AF66" s="130"/>
      <c r="AG66" s="130">
        <v>5308.22</v>
      </c>
      <c r="AH66" s="130">
        <f t="shared" ref="AH66:AH67" si="41">AF66+AG66</f>
        <v>5308.22</v>
      </c>
      <c r="AI66" s="88">
        <v>8</v>
      </c>
      <c r="AJ66" s="120"/>
      <c r="AK66" s="121"/>
      <c r="AL66" s="120"/>
    </row>
    <row r="67" spans="1:38" ht="11.4" customHeight="1">
      <c r="A67" s="88">
        <v>9</v>
      </c>
      <c r="B67" s="98">
        <v>46526</v>
      </c>
      <c r="C67" s="92">
        <v>2370.83</v>
      </c>
      <c r="D67" s="92">
        <f t="shared" si="9"/>
        <v>48896.83</v>
      </c>
      <c r="E67" s="92">
        <v>41920.5</v>
      </c>
      <c r="F67" s="92">
        <v>36037.1</v>
      </c>
      <c r="G67" s="93">
        <f t="shared" si="8"/>
        <v>5883.4</v>
      </c>
      <c r="H67" s="142">
        <v>53083.69</v>
      </c>
      <c r="I67" s="92">
        <v>45633.57</v>
      </c>
      <c r="J67" s="95">
        <f t="shared" si="7"/>
        <v>7450.12</v>
      </c>
      <c r="K67" s="140"/>
      <c r="L67" s="140"/>
      <c r="M67" s="141"/>
      <c r="N67" s="122">
        <v>45834</v>
      </c>
      <c r="O67" s="90">
        <v>6422.87</v>
      </c>
      <c r="P67" s="91">
        <f t="shared" si="13"/>
        <v>52256.87</v>
      </c>
      <c r="Q67" s="123"/>
      <c r="R67" s="124"/>
      <c r="S67" s="125"/>
      <c r="T67" s="130">
        <v>102223</v>
      </c>
      <c r="U67" s="131">
        <v>23093.75</v>
      </c>
      <c r="V67" s="130">
        <f t="shared" si="16"/>
        <v>125316.75</v>
      </c>
      <c r="W67" s="130"/>
      <c r="X67" s="130"/>
      <c r="Y67" s="130"/>
      <c r="Z67" s="130"/>
      <c r="AA67" s="130"/>
      <c r="AB67" s="130"/>
      <c r="AC67" s="130">
        <f t="shared" si="34"/>
        <v>38164.879999999997</v>
      </c>
      <c r="AD67" s="130">
        <v>26710.78</v>
      </c>
      <c r="AE67" s="130">
        <v>11454.1</v>
      </c>
      <c r="AF67" s="130"/>
      <c r="AG67" s="130">
        <v>4794.5200000000004</v>
      </c>
      <c r="AH67" s="130">
        <f t="shared" si="41"/>
        <v>4794.5200000000004</v>
      </c>
      <c r="AI67" s="88">
        <v>9</v>
      </c>
      <c r="AJ67" s="120"/>
      <c r="AK67" s="121"/>
      <c r="AL67" s="120"/>
    </row>
    <row r="68" spans="1:38" ht="11.4" customHeight="1">
      <c r="A68" s="88"/>
      <c r="B68" s="115">
        <f>SUM(B65:B67)</f>
        <v>139578</v>
      </c>
      <c r="C68" s="115">
        <f t="shared" ref="C68:AH68" si="42">SUM(C65:C67)</f>
        <v>7616</v>
      </c>
      <c r="D68" s="115">
        <f t="shared" si="42"/>
        <v>147194</v>
      </c>
      <c r="E68" s="115">
        <f t="shared" si="42"/>
        <v>125761.5</v>
      </c>
      <c r="F68" s="115">
        <f t="shared" si="42"/>
        <v>107485.53</v>
      </c>
      <c r="G68" s="115">
        <f t="shared" si="42"/>
        <v>18275.97</v>
      </c>
      <c r="H68" s="115">
        <f t="shared" si="42"/>
        <v>159251.07</v>
      </c>
      <c r="I68" s="115">
        <f t="shared" si="42"/>
        <v>136108.29</v>
      </c>
      <c r="J68" s="115">
        <f t="shared" si="42"/>
        <v>23142.78</v>
      </c>
      <c r="K68" s="115">
        <f t="shared" si="42"/>
        <v>0</v>
      </c>
      <c r="L68" s="115">
        <f t="shared" si="42"/>
        <v>0</v>
      </c>
      <c r="M68" s="115">
        <f t="shared" si="42"/>
        <v>0</v>
      </c>
      <c r="N68" s="115">
        <f t="shared" si="42"/>
        <v>137502</v>
      </c>
      <c r="O68" s="115">
        <f t="shared" si="42"/>
        <v>19632.78</v>
      </c>
      <c r="P68" s="115">
        <f t="shared" si="42"/>
        <v>157134.78</v>
      </c>
      <c r="Q68" s="115">
        <f t="shared" si="42"/>
        <v>0</v>
      </c>
      <c r="R68" s="115">
        <f t="shared" si="42"/>
        <v>0</v>
      </c>
      <c r="S68" s="115">
        <f t="shared" si="42"/>
        <v>0</v>
      </c>
      <c r="T68" s="115">
        <f t="shared" si="42"/>
        <v>306669</v>
      </c>
      <c r="U68" s="115">
        <f t="shared" si="42"/>
        <v>70320.28</v>
      </c>
      <c r="V68" s="115">
        <f t="shared" si="42"/>
        <v>376989.28</v>
      </c>
      <c r="W68" s="115">
        <f t="shared" si="42"/>
        <v>0</v>
      </c>
      <c r="X68" s="115">
        <f t="shared" si="42"/>
        <v>0</v>
      </c>
      <c r="Y68" s="115">
        <f t="shared" si="42"/>
        <v>0</v>
      </c>
      <c r="Z68" s="115">
        <f t="shared" si="42"/>
        <v>2000000</v>
      </c>
      <c r="AA68" s="115">
        <f t="shared" si="42"/>
        <v>28273.97</v>
      </c>
      <c r="AB68" s="115">
        <f t="shared" si="42"/>
        <v>2028273.97</v>
      </c>
      <c r="AC68" s="115">
        <f t="shared" si="42"/>
        <v>114494.64</v>
      </c>
      <c r="AD68" s="115">
        <f t="shared" si="42"/>
        <v>79471.91</v>
      </c>
      <c r="AE68" s="115">
        <f t="shared" si="42"/>
        <v>35022.730000000003</v>
      </c>
      <c r="AF68" s="115">
        <f t="shared" si="42"/>
        <v>0</v>
      </c>
      <c r="AG68" s="115">
        <f t="shared" si="42"/>
        <v>15410.96</v>
      </c>
      <c r="AH68" s="115">
        <f t="shared" si="42"/>
        <v>15410.96</v>
      </c>
      <c r="AI68" s="88"/>
      <c r="AJ68" s="120">
        <f>B68+F68+I68+K68+N68+Q68+T68+W68+Z68+AD68+AF68</f>
        <v>2906814.73</v>
      </c>
      <c r="AK68" s="121">
        <f>C68+G68+J68+L68+O68+R68+U68+X68+AA68+AE68+AG68</f>
        <v>217695.47</v>
      </c>
      <c r="AL68" s="120">
        <f>D68+E68+H68+M68+P68+S68+V68+Y68+AB68+AC68+AH68</f>
        <v>3124510.2</v>
      </c>
    </row>
    <row r="69" spans="1:38" ht="11.4" customHeight="1">
      <c r="A69" s="88">
        <v>10</v>
      </c>
      <c r="B69" s="98">
        <v>46526</v>
      </c>
      <c r="C69" s="92">
        <v>2103.15</v>
      </c>
      <c r="D69" s="92">
        <f t="shared" si="9"/>
        <v>48629.15</v>
      </c>
      <c r="E69" s="92">
        <v>41920.5</v>
      </c>
      <c r="F69" s="92">
        <v>36247.32</v>
      </c>
      <c r="G69" s="93">
        <f t="shared" si="8"/>
        <v>5673.18</v>
      </c>
      <c r="H69" s="142">
        <v>53083.69</v>
      </c>
      <c r="I69" s="92">
        <v>45899.77</v>
      </c>
      <c r="J69" s="95">
        <f t="shared" si="7"/>
        <v>7183.92</v>
      </c>
      <c r="K69" s="140"/>
      <c r="L69" s="140"/>
      <c r="M69" s="141"/>
      <c r="N69" s="122">
        <v>45834</v>
      </c>
      <c r="O69" s="90">
        <v>6027.32</v>
      </c>
      <c r="P69" s="91">
        <f t="shared" si="13"/>
        <v>51861.32</v>
      </c>
      <c r="Q69" s="123"/>
      <c r="R69" s="124"/>
      <c r="S69" s="125"/>
      <c r="T69" s="130">
        <v>102223</v>
      </c>
      <c r="U69" s="131">
        <v>21760.65</v>
      </c>
      <c r="V69" s="130">
        <f t="shared" si="16"/>
        <v>123983.65</v>
      </c>
      <c r="W69" s="130"/>
      <c r="X69" s="130"/>
      <c r="Y69" s="130"/>
      <c r="Z69" s="130"/>
      <c r="AA69" s="130"/>
      <c r="AB69" s="130"/>
      <c r="AC69" s="130">
        <f t="shared" si="34"/>
        <v>38164.879999999997</v>
      </c>
      <c r="AD69" s="130">
        <v>26933.37</v>
      </c>
      <c r="AE69" s="130">
        <v>11231.51</v>
      </c>
      <c r="AF69" s="130">
        <v>416667</v>
      </c>
      <c r="AG69" s="130">
        <v>5650.68</v>
      </c>
      <c r="AH69" s="130">
        <f>AF69+AG69</f>
        <v>422317.68</v>
      </c>
      <c r="AI69" s="88">
        <v>10</v>
      </c>
      <c r="AJ69" s="120"/>
      <c r="AK69" s="162"/>
      <c r="AL69" s="120"/>
    </row>
    <row r="70" spans="1:38" ht="11.4" customHeight="1">
      <c r="A70" s="88">
        <v>11</v>
      </c>
      <c r="B70" s="98">
        <v>46526</v>
      </c>
      <c r="C70" s="92">
        <v>1975.68</v>
      </c>
      <c r="D70" s="92">
        <f t="shared" si="9"/>
        <v>48501.68</v>
      </c>
      <c r="E70" s="92">
        <v>41920.5</v>
      </c>
      <c r="F70" s="92">
        <v>36458.76</v>
      </c>
      <c r="G70" s="93">
        <f t="shared" si="8"/>
        <v>5461.74</v>
      </c>
      <c r="H70" s="142">
        <v>53083.69</v>
      </c>
      <c r="I70" s="92">
        <v>46167.519999999997</v>
      </c>
      <c r="J70" s="95">
        <f t="shared" si="7"/>
        <v>6916.17</v>
      </c>
      <c r="K70" s="140"/>
      <c r="L70" s="140"/>
      <c r="M70" s="141"/>
      <c r="N70" s="122">
        <v>45834</v>
      </c>
      <c r="O70" s="90">
        <v>6033.59</v>
      </c>
      <c r="P70" s="91">
        <f t="shared" si="13"/>
        <v>51867.59</v>
      </c>
      <c r="Q70" s="123"/>
      <c r="R70" s="124"/>
      <c r="S70" s="125"/>
      <c r="T70" s="130">
        <v>102223</v>
      </c>
      <c r="U70" s="131">
        <v>21878.27</v>
      </c>
      <c r="V70" s="130">
        <f t="shared" si="16"/>
        <v>124101.27</v>
      </c>
      <c r="W70" s="130"/>
      <c r="X70" s="130"/>
      <c r="Y70" s="130"/>
      <c r="Z70" s="130"/>
      <c r="AA70" s="130"/>
      <c r="AB70" s="130"/>
      <c r="AC70" s="130">
        <f t="shared" si="34"/>
        <v>38164.879999999997</v>
      </c>
      <c r="AD70" s="130">
        <v>27157.82</v>
      </c>
      <c r="AE70" s="130">
        <v>11007.06</v>
      </c>
      <c r="AF70" s="130">
        <v>416667</v>
      </c>
      <c r="AG70" s="130">
        <v>4280.82</v>
      </c>
      <c r="AH70" s="130">
        <f>AF70+AG70</f>
        <v>420947.82</v>
      </c>
      <c r="AI70" s="88">
        <v>11</v>
      </c>
      <c r="AJ70" s="120"/>
      <c r="AK70" s="162"/>
      <c r="AL70" s="120"/>
    </row>
    <row r="71" spans="1:38" ht="11.4" customHeight="1">
      <c r="A71" s="88">
        <v>12</v>
      </c>
      <c r="B71" s="98">
        <v>46526</v>
      </c>
      <c r="C71" s="92">
        <v>1720.74</v>
      </c>
      <c r="D71" s="92">
        <f t="shared" si="9"/>
        <v>48246.74</v>
      </c>
      <c r="E71" s="92">
        <v>41920.5</v>
      </c>
      <c r="F71" s="92">
        <v>36671.440000000002</v>
      </c>
      <c r="G71" s="93">
        <f t="shared" si="8"/>
        <v>5249.06</v>
      </c>
      <c r="H71" s="142">
        <v>53083.69</v>
      </c>
      <c r="I71" s="92">
        <v>46436.83</v>
      </c>
      <c r="J71" s="95">
        <f t="shared" si="7"/>
        <v>6646.86</v>
      </c>
      <c r="K71" s="140"/>
      <c r="L71" s="140"/>
      <c r="M71" s="141"/>
      <c r="N71" s="122">
        <v>45834</v>
      </c>
      <c r="O71" s="90">
        <v>5650.6</v>
      </c>
      <c r="P71" s="91">
        <f t="shared" si="13"/>
        <v>51484.6</v>
      </c>
      <c r="Q71" s="123"/>
      <c r="R71" s="124"/>
      <c r="S71" s="125"/>
      <c r="T71" s="130">
        <v>102223</v>
      </c>
      <c r="U71" s="131">
        <v>20584.39</v>
      </c>
      <c r="V71" s="130">
        <f t="shared" si="16"/>
        <v>122807.39</v>
      </c>
      <c r="W71" s="130"/>
      <c r="X71" s="130"/>
      <c r="Y71" s="130"/>
      <c r="Z71" s="130"/>
      <c r="AA71" s="130"/>
      <c r="AB71" s="130"/>
      <c r="AC71" s="130">
        <f t="shared" si="34"/>
        <v>38164.879999999997</v>
      </c>
      <c r="AD71" s="130">
        <v>27384.13</v>
      </c>
      <c r="AE71" s="130">
        <v>10780.75</v>
      </c>
      <c r="AF71" s="130">
        <f>416667*2</f>
        <v>833334</v>
      </c>
      <c r="AG71" s="130">
        <v>3538.81</v>
      </c>
      <c r="AH71" s="130">
        <f>AF71+AG71</f>
        <v>836872.81</v>
      </c>
      <c r="AI71" s="88">
        <v>12</v>
      </c>
      <c r="AJ71" s="120"/>
      <c r="AK71" s="162"/>
      <c r="AL71" s="120"/>
    </row>
    <row r="72" spans="1:38" ht="11.4" customHeight="1">
      <c r="A72" s="88"/>
      <c r="B72" s="115">
        <f>SUM(B69:B71)</f>
        <v>139578</v>
      </c>
      <c r="C72" s="115">
        <f t="shared" ref="C72:AH72" si="43">SUM(C69:C71)</f>
        <v>5799.57</v>
      </c>
      <c r="D72" s="115">
        <f t="shared" si="43"/>
        <v>145377.57</v>
      </c>
      <c r="E72" s="115">
        <f t="shared" si="43"/>
        <v>125761.5</v>
      </c>
      <c r="F72" s="115">
        <f t="shared" si="43"/>
        <v>109377.52</v>
      </c>
      <c r="G72" s="115">
        <f t="shared" si="43"/>
        <v>16383.98</v>
      </c>
      <c r="H72" s="115">
        <f t="shared" si="43"/>
        <v>159251.07</v>
      </c>
      <c r="I72" s="115">
        <f t="shared" si="43"/>
        <v>138504.12</v>
      </c>
      <c r="J72" s="115">
        <f t="shared" si="43"/>
        <v>20746.95</v>
      </c>
      <c r="K72" s="115">
        <f t="shared" si="43"/>
        <v>0</v>
      </c>
      <c r="L72" s="115">
        <f t="shared" si="43"/>
        <v>0</v>
      </c>
      <c r="M72" s="115">
        <f t="shared" si="43"/>
        <v>0</v>
      </c>
      <c r="N72" s="115">
        <f t="shared" si="43"/>
        <v>137502</v>
      </c>
      <c r="O72" s="115">
        <f t="shared" si="43"/>
        <v>17711.509999999998</v>
      </c>
      <c r="P72" s="115">
        <f t="shared" si="43"/>
        <v>155213.51</v>
      </c>
      <c r="Q72" s="115">
        <f t="shared" si="43"/>
        <v>0</v>
      </c>
      <c r="R72" s="115">
        <f t="shared" si="43"/>
        <v>0</v>
      </c>
      <c r="S72" s="115">
        <f t="shared" si="43"/>
        <v>0</v>
      </c>
      <c r="T72" s="115">
        <f t="shared" si="43"/>
        <v>306669</v>
      </c>
      <c r="U72" s="115">
        <f t="shared" si="43"/>
        <v>64223.31</v>
      </c>
      <c r="V72" s="115">
        <f t="shared" si="43"/>
        <v>370892.31</v>
      </c>
      <c r="W72" s="115">
        <f t="shared" si="43"/>
        <v>0</v>
      </c>
      <c r="X72" s="115">
        <f t="shared" si="43"/>
        <v>0</v>
      </c>
      <c r="Y72" s="115">
        <f t="shared" si="43"/>
        <v>0</v>
      </c>
      <c r="Z72" s="115">
        <f t="shared" si="43"/>
        <v>0</v>
      </c>
      <c r="AA72" s="115">
        <f t="shared" si="43"/>
        <v>0</v>
      </c>
      <c r="AB72" s="115">
        <f t="shared" si="43"/>
        <v>0</v>
      </c>
      <c r="AC72" s="115">
        <f t="shared" si="43"/>
        <v>114494.64</v>
      </c>
      <c r="AD72" s="115">
        <f t="shared" si="43"/>
        <v>81475.320000000007</v>
      </c>
      <c r="AE72" s="115">
        <f t="shared" si="43"/>
        <v>33019.32</v>
      </c>
      <c r="AF72" s="115">
        <f t="shared" si="43"/>
        <v>1666668</v>
      </c>
      <c r="AG72" s="115">
        <f t="shared" si="43"/>
        <v>13470.31</v>
      </c>
      <c r="AH72" s="115">
        <f t="shared" si="43"/>
        <v>1680138.31</v>
      </c>
      <c r="AI72" s="88"/>
      <c r="AJ72" s="120">
        <f>B72+F72+I72+K72+N72+Q72+T72+W72+Z72+AD72+AF72</f>
        <v>2579773.96</v>
      </c>
      <c r="AK72" s="121">
        <f>C72+G72+J72+L72+O72+R72+U72+X72+AA72+AE72+AG72</f>
        <v>171354.95</v>
      </c>
      <c r="AL72" s="120">
        <f>D72+E72+H72+M72+P72+S72+V72+Y72+AB72+AC72+AH72</f>
        <v>2751128.91</v>
      </c>
    </row>
    <row r="73" spans="1:38" ht="11.4" customHeight="1">
      <c r="A73" s="135" t="s">
        <v>476</v>
      </c>
      <c r="B73" s="111">
        <f>B60+B64+B68+B72</f>
        <v>558312</v>
      </c>
      <c r="C73" s="111">
        <f t="shared" ref="C73:AH73" si="44">C60+C64+C68+C72</f>
        <v>33714.43</v>
      </c>
      <c r="D73" s="111">
        <f t="shared" si="44"/>
        <v>592026.43000000005</v>
      </c>
      <c r="E73" s="111">
        <f t="shared" si="44"/>
        <v>503046</v>
      </c>
      <c r="F73" s="111">
        <f t="shared" si="44"/>
        <v>426288.48</v>
      </c>
      <c r="G73" s="111">
        <f t="shared" si="44"/>
        <v>76757.52</v>
      </c>
      <c r="H73" s="111">
        <f t="shared" si="44"/>
        <v>637004.28</v>
      </c>
      <c r="I73" s="111">
        <f t="shared" si="44"/>
        <v>539806.6</v>
      </c>
      <c r="J73" s="111">
        <f t="shared" si="44"/>
        <v>97197.68</v>
      </c>
      <c r="K73" s="111">
        <f t="shared" si="44"/>
        <v>0</v>
      </c>
      <c r="L73" s="111">
        <f t="shared" si="44"/>
        <v>0</v>
      </c>
      <c r="M73" s="111">
        <f t="shared" si="44"/>
        <v>0</v>
      </c>
      <c r="N73" s="111">
        <f t="shared" si="44"/>
        <v>550008</v>
      </c>
      <c r="O73" s="111">
        <f t="shared" si="44"/>
        <v>81337.66</v>
      </c>
      <c r="P73" s="111">
        <f t="shared" si="44"/>
        <v>631345.66</v>
      </c>
      <c r="Q73" s="111">
        <f t="shared" si="44"/>
        <v>0</v>
      </c>
      <c r="R73" s="111">
        <f t="shared" si="44"/>
        <v>0</v>
      </c>
      <c r="S73" s="111">
        <f t="shared" si="44"/>
        <v>0</v>
      </c>
      <c r="T73" s="111">
        <f t="shared" si="44"/>
        <v>1226676</v>
      </c>
      <c r="U73" s="111">
        <f t="shared" si="44"/>
        <v>289750.25</v>
      </c>
      <c r="V73" s="111">
        <f t="shared" si="44"/>
        <v>1516426.25</v>
      </c>
      <c r="W73" s="111">
        <f t="shared" si="44"/>
        <v>2500000</v>
      </c>
      <c r="X73" s="111">
        <f t="shared" si="44"/>
        <v>20547.95</v>
      </c>
      <c r="Y73" s="111">
        <f t="shared" si="44"/>
        <v>2520547.9500000002</v>
      </c>
      <c r="Z73" s="111">
        <f t="shared" si="44"/>
        <v>2000000</v>
      </c>
      <c r="AA73" s="111">
        <f t="shared" si="44"/>
        <v>88109.58</v>
      </c>
      <c r="AB73" s="111">
        <f t="shared" si="44"/>
        <v>2088109.58</v>
      </c>
      <c r="AC73" s="111">
        <f t="shared" si="44"/>
        <v>457978.56</v>
      </c>
      <c r="AD73" s="111">
        <f t="shared" si="44"/>
        <v>314076.71000000002</v>
      </c>
      <c r="AE73" s="111">
        <f t="shared" si="44"/>
        <v>143901.85</v>
      </c>
      <c r="AF73" s="111">
        <f t="shared" si="44"/>
        <v>1666668</v>
      </c>
      <c r="AG73" s="111">
        <f t="shared" si="44"/>
        <v>44634.7</v>
      </c>
      <c r="AH73" s="111">
        <f t="shared" si="44"/>
        <v>1711302.7</v>
      </c>
      <c r="AI73" s="135" t="s">
        <v>476</v>
      </c>
      <c r="AJ73" s="120">
        <f>B73+F73+I73+K73+N73+Q73+T73+W73+Z73+AD73+AF73</f>
        <v>9781835.7899999991</v>
      </c>
      <c r="AK73" s="120">
        <f>C73+G73+J73+L73+O73+R73+U73+X73+AA73+AE73+AG73</f>
        <v>875951.62</v>
      </c>
      <c r="AL73" s="120">
        <f>D73+E73+H73+M73+P73+S73+V73+Y73+AB73+AC73+AH73</f>
        <v>10657787.41</v>
      </c>
    </row>
    <row r="74" spans="1:38" ht="11.4" customHeight="1">
      <c r="A74" s="88" t="s">
        <v>477</v>
      </c>
      <c r="B74" s="98">
        <v>46526</v>
      </c>
      <c r="C74" s="92">
        <v>1580.52</v>
      </c>
      <c r="D74" s="92">
        <f t="shared" si="9"/>
        <v>48106.52</v>
      </c>
      <c r="E74" s="92">
        <v>41920.5</v>
      </c>
      <c r="F74" s="92">
        <v>36885.35</v>
      </c>
      <c r="G74" s="93">
        <f t="shared" si="8"/>
        <v>5035.1499999999996</v>
      </c>
      <c r="H74" s="92">
        <v>53083.69</v>
      </c>
      <c r="I74" s="92">
        <v>46707.71</v>
      </c>
      <c r="J74" s="95">
        <f t="shared" si="7"/>
        <v>6375.98</v>
      </c>
      <c r="K74" s="140"/>
      <c r="L74" s="140"/>
      <c r="M74" s="141"/>
      <c r="N74" s="122">
        <v>45834</v>
      </c>
      <c r="O74" s="90">
        <v>5644.32</v>
      </c>
      <c r="P74" s="91">
        <f t="shared" si="13"/>
        <v>51478.32</v>
      </c>
      <c r="Q74" s="123"/>
      <c r="R74" s="124"/>
      <c r="S74" s="125"/>
      <c r="T74" s="130">
        <v>102223</v>
      </c>
      <c r="U74" s="131">
        <v>20662.8</v>
      </c>
      <c r="V74" s="130">
        <f t="shared" si="16"/>
        <v>122885.8</v>
      </c>
      <c r="W74" s="130"/>
      <c r="X74" s="130"/>
      <c r="Y74" s="130"/>
      <c r="Z74" s="130"/>
      <c r="AA74" s="130"/>
      <c r="AB74" s="130"/>
      <c r="AC74" s="130">
        <f>AD74+AE74</f>
        <v>38164.879999999997</v>
      </c>
      <c r="AD74" s="130">
        <v>27612.33</v>
      </c>
      <c r="AE74" s="130">
        <v>10552.55</v>
      </c>
      <c r="AF74" s="130">
        <v>416667</v>
      </c>
      <c r="AG74" s="130">
        <v>2654.11</v>
      </c>
      <c r="AH74" s="130">
        <f>AF74+AG74</f>
        <v>419321.11</v>
      </c>
      <c r="AI74" s="88" t="s">
        <v>477</v>
      </c>
      <c r="AJ74" s="120">
        <f>AJ60+AJ64+AJ68+AJ72</f>
        <v>9781835.7899999991</v>
      </c>
      <c r="AK74" s="120">
        <f t="shared" ref="AK74:AL74" si="45">AK60+AK64+AK68+AK72</f>
        <v>875951.62</v>
      </c>
      <c r="AL74" s="120">
        <f t="shared" si="45"/>
        <v>10657787.41</v>
      </c>
    </row>
    <row r="75" spans="1:38" ht="11.4" customHeight="1">
      <c r="A75" s="88">
        <v>2</v>
      </c>
      <c r="B75" s="98">
        <v>46526</v>
      </c>
      <c r="C75" s="92">
        <v>1382.95</v>
      </c>
      <c r="D75" s="92">
        <f t="shared" si="9"/>
        <v>47908.95</v>
      </c>
      <c r="E75" s="92">
        <v>41920.5</v>
      </c>
      <c r="F75" s="92">
        <v>37100.519999999997</v>
      </c>
      <c r="G75" s="93">
        <f t="shared" si="8"/>
        <v>4819.9799999999996</v>
      </c>
      <c r="H75" s="92">
        <v>53083.69</v>
      </c>
      <c r="I75" s="92">
        <v>46980.17</v>
      </c>
      <c r="J75" s="95">
        <f t="shared" si="7"/>
        <v>6103.52</v>
      </c>
      <c r="K75" s="140"/>
      <c r="L75" s="140"/>
      <c r="M75" s="141"/>
      <c r="N75" s="122">
        <v>45834</v>
      </c>
      <c r="O75" s="90">
        <v>5449.68</v>
      </c>
      <c r="P75" s="91">
        <f t="shared" si="13"/>
        <v>51283.68</v>
      </c>
      <c r="Q75" s="123"/>
      <c r="R75" s="124"/>
      <c r="S75" s="125"/>
      <c r="T75" s="130">
        <v>102223</v>
      </c>
      <c r="U75" s="131">
        <v>20055.060000000001</v>
      </c>
      <c r="V75" s="130">
        <f t="shared" si="16"/>
        <v>122278.06</v>
      </c>
      <c r="W75" s="130"/>
      <c r="X75" s="130"/>
      <c r="Y75" s="130"/>
      <c r="Z75" s="130"/>
      <c r="AA75" s="130"/>
      <c r="AB75" s="130"/>
      <c r="AC75" s="130">
        <f t="shared" ref="AC75:AC127" si="46">AD75+AE75</f>
        <v>38164.879999999997</v>
      </c>
      <c r="AD75" s="130">
        <v>27842.43</v>
      </c>
      <c r="AE75" s="130">
        <v>10322.450000000001</v>
      </c>
      <c r="AF75" s="130">
        <v>416665</v>
      </c>
      <c r="AG75" s="130">
        <v>1598.17</v>
      </c>
      <c r="AH75" s="130">
        <f t="shared" ref="AH75:AH76" si="47">AF75+AG75</f>
        <v>418263.17</v>
      </c>
      <c r="AI75" s="88">
        <v>2</v>
      </c>
      <c r="AJ75" s="120"/>
      <c r="AK75" s="120"/>
      <c r="AL75" s="120"/>
    </row>
    <row r="76" spans="1:38" ht="11.4" customHeight="1">
      <c r="A76" s="88">
        <v>3</v>
      </c>
      <c r="B76" s="98">
        <v>46526</v>
      </c>
      <c r="C76" s="92">
        <v>1070.6600000000001</v>
      </c>
      <c r="D76" s="92">
        <f t="shared" si="9"/>
        <v>47596.66</v>
      </c>
      <c r="E76" s="92">
        <v>41920.5</v>
      </c>
      <c r="F76" s="92">
        <v>37316.94</v>
      </c>
      <c r="G76" s="93">
        <f t="shared" si="8"/>
        <v>4603.5600000000004</v>
      </c>
      <c r="H76" s="92">
        <v>53083.69</v>
      </c>
      <c r="I76" s="92">
        <v>47254.22</v>
      </c>
      <c r="J76" s="95">
        <f t="shared" si="7"/>
        <v>5829.47</v>
      </c>
      <c r="K76" s="140"/>
      <c r="L76" s="140"/>
      <c r="M76" s="141"/>
      <c r="N76" s="122">
        <v>45834</v>
      </c>
      <c r="O76" s="90">
        <v>4746.49</v>
      </c>
      <c r="P76" s="91">
        <f t="shared" si="13"/>
        <v>50580.49</v>
      </c>
      <c r="Q76" s="123"/>
      <c r="R76" s="124"/>
      <c r="S76" s="125"/>
      <c r="T76" s="130">
        <v>102223</v>
      </c>
      <c r="U76" s="131">
        <v>17565.330000000002</v>
      </c>
      <c r="V76" s="130">
        <f t="shared" si="16"/>
        <v>119788.33</v>
      </c>
      <c r="W76" s="130"/>
      <c r="X76" s="130"/>
      <c r="Y76" s="130"/>
      <c r="Z76" s="130"/>
      <c r="AA76" s="130"/>
      <c r="AB76" s="130"/>
      <c r="AC76" s="130">
        <f t="shared" si="46"/>
        <v>38164.879999999997</v>
      </c>
      <c r="AD76" s="130">
        <v>28074.45</v>
      </c>
      <c r="AE76" s="130">
        <v>10090.43</v>
      </c>
      <c r="AF76" s="130"/>
      <c r="AG76" s="130"/>
      <c r="AH76" s="130">
        <f t="shared" si="47"/>
        <v>0</v>
      </c>
      <c r="AI76" s="88">
        <v>3</v>
      </c>
      <c r="AJ76" s="120"/>
      <c r="AK76" s="120"/>
      <c r="AL76" s="120"/>
    </row>
    <row r="77" spans="1:38" ht="11.4" customHeight="1">
      <c r="A77" s="88"/>
      <c r="B77" s="115">
        <f>SUM(B74:B76)</f>
        <v>139578</v>
      </c>
      <c r="C77" s="115">
        <f t="shared" ref="C77:AH77" si="48">SUM(C74:C76)</f>
        <v>4034.13</v>
      </c>
      <c r="D77" s="115">
        <f t="shared" si="48"/>
        <v>143612.13</v>
      </c>
      <c r="E77" s="115">
        <f t="shared" si="48"/>
        <v>125761.5</v>
      </c>
      <c r="F77" s="115">
        <f t="shared" si="48"/>
        <v>111302.81</v>
      </c>
      <c r="G77" s="115">
        <f t="shared" si="48"/>
        <v>14458.69</v>
      </c>
      <c r="H77" s="115">
        <f t="shared" si="48"/>
        <v>159251.07</v>
      </c>
      <c r="I77" s="115">
        <f t="shared" si="48"/>
        <v>140942.1</v>
      </c>
      <c r="J77" s="115">
        <f t="shared" si="48"/>
        <v>18308.97</v>
      </c>
      <c r="K77" s="115">
        <f t="shared" si="48"/>
        <v>0</v>
      </c>
      <c r="L77" s="115">
        <f t="shared" si="48"/>
        <v>0</v>
      </c>
      <c r="M77" s="115">
        <f t="shared" si="48"/>
        <v>0</v>
      </c>
      <c r="N77" s="115">
        <f t="shared" si="48"/>
        <v>137502</v>
      </c>
      <c r="O77" s="115">
        <f t="shared" si="48"/>
        <v>15840.49</v>
      </c>
      <c r="P77" s="115">
        <f t="shared" si="48"/>
        <v>153342.49</v>
      </c>
      <c r="Q77" s="115">
        <f t="shared" si="48"/>
        <v>0</v>
      </c>
      <c r="R77" s="115">
        <f t="shared" si="48"/>
        <v>0</v>
      </c>
      <c r="S77" s="115">
        <f t="shared" si="48"/>
        <v>0</v>
      </c>
      <c r="T77" s="115">
        <f t="shared" si="48"/>
        <v>306669</v>
      </c>
      <c r="U77" s="115">
        <f t="shared" si="48"/>
        <v>58283.19</v>
      </c>
      <c r="V77" s="115">
        <f t="shared" si="48"/>
        <v>364952.19</v>
      </c>
      <c r="W77" s="115">
        <f t="shared" si="48"/>
        <v>0</v>
      </c>
      <c r="X77" s="115">
        <f t="shared" si="48"/>
        <v>0</v>
      </c>
      <c r="Y77" s="115">
        <f t="shared" si="48"/>
        <v>0</v>
      </c>
      <c r="Z77" s="115">
        <f t="shared" si="48"/>
        <v>0</v>
      </c>
      <c r="AA77" s="115">
        <f t="shared" si="48"/>
        <v>0</v>
      </c>
      <c r="AB77" s="115">
        <f t="shared" si="48"/>
        <v>0</v>
      </c>
      <c r="AC77" s="115">
        <f t="shared" si="48"/>
        <v>114494.64</v>
      </c>
      <c r="AD77" s="115">
        <f t="shared" si="48"/>
        <v>83529.210000000006</v>
      </c>
      <c r="AE77" s="115">
        <f t="shared" si="48"/>
        <v>30965.43</v>
      </c>
      <c r="AF77" s="115">
        <f t="shared" si="48"/>
        <v>833332</v>
      </c>
      <c r="AG77" s="115">
        <f t="shared" si="48"/>
        <v>4252.28</v>
      </c>
      <c r="AH77" s="115">
        <f t="shared" si="48"/>
        <v>837584.28</v>
      </c>
      <c r="AI77" s="88"/>
      <c r="AJ77" s="120">
        <f>B77+F77+I77+K77+N77+Q77+T77+W77+Z77+AD77+AF77</f>
        <v>1752855.12</v>
      </c>
      <c r="AK77" s="121">
        <f>C77+G77+J77+L77+O77+R77+U77+X77+AA77+AE77+AG77</f>
        <v>146143.18</v>
      </c>
      <c r="AL77" s="120">
        <f>D77+E77+H77+M77+P77+S77+V77+Y77+AB77+AC77+AH77</f>
        <v>1898998.3</v>
      </c>
    </row>
    <row r="78" spans="1:38" ht="11.4" customHeight="1">
      <c r="A78" s="88">
        <v>4</v>
      </c>
      <c r="B78" s="98">
        <v>46526</v>
      </c>
      <c r="C78" s="92">
        <v>987.8</v>
      </c>
      <c r="D78" s="92">
        <f t="shared" si="9"/>
        <v>47513.8</v>
      </c>
      <c r="E78" s="92">
        <v>41920.5</v>
      </c>
      <c r="F78" s="92">
        <v>37534.620000000003</v>
      </c>
      <c r="G78" s="93">
        <f t="shared" si="8"/>
        <v>4385.88</v>
      </c>
      <c r="H78" s="92">
        <v>53083.69</v>
      </c>
      <c r="I78" s="92">
        <v>47529.87</v>
      </c>
      <c r="J78" s="95">
        <f t="shared" si="7"/>
        <v>5553.82</v>
      </c>
      <c r="K78" s="140"/>
      <c r="L78" s="140"/>
      <c r="M78" s="141"/>
      <c r="N78" s="122">
        <v>45834</v>
      </c>
      <c r="O78" s="90">
        <v>5060.41</v>
      </c>
      <c r="P78" s="91">
        <f t="shared" si="13"/>
        <v>50894.41</v>
      </c>
      <c r="Q78" s="123"/>
      <c r="R78" s="124"/>
      <c r="S78" s="125"/>
      <c r="T78" s="130">
        <v>102223</v>
      </c>
      <c r="U78" s="131">
        <v>18839.59</v>
      </c>
      <c r="V78" s="130">
        <f t="shared" si="16"/>
        <v>121062.59</v>
      </c>
      <c r="W78" s="130"/>
      <c r="X78" s="130"/>
      <c r="Y78" s="130"/>
      <c r="Z78" s="130"/>
      <c r="AA78" s="130"/>
      <c r="AB78" s="130"/>
      <c r="AC78" s="130">
        <f t="shared" si="46"/>
        <v>38164.879999999997</v>
      </c>
      <c r="AD78" s="130">
        <v>28308.41</v>
      </c>
      <c r="AE78" s="130">
        <v>9856.4699999999993</v>
      </c>
      <c r="AF78" s="130"/>
      <c r="AG78" s="130"/>
      <c r="AH78" s="130"/>
      <c r="AI78" s="88">
        <v>4</v>
      </c>
      <c r="AJ78" s="120"/>
      <c r="AK78" s="121"/>
      <c r="AL78" s="120"/>
    </row>
    <row r="79" spans="1:38" ht="11.4" customHeight="1">
      <c r="A79" s="88">
        <v>5</v>
      </c>
      <c r="B79" s="98">
        <v>46526</v>
      </c>
      <c r="C79" s="92">
        <v>764.73</v>
      </c>
      <c r="D79" s="92">
        <f t="shared" si="9"/>
        <v>47290.73</v>
      </c>
      <c r="E79" s="92">
        <v>41920.5</v>
      </c>
      <c r="F79" s="92">
        <v>37753.57</v>
      </c>
      <c r="G79" s="93">
        <f t="shared" si="8"/>
        <v>4166.93</v>
      </c>
      <c r="H79" s="92">
        <v>53083.69</v>
      </c>
      <c r="I79" s="92">
        <v>47807.13</v>
      </c>
      <c r="J79" s="95">
        <f t="shared" si="7"/>
        <v>5276.56</v>
      </c>
      <c r="K79" s="140"/>
      <c r="L79" s="140"/>
      <c r="M79" s="141"/>
      <c r="N79" s="122">
        <v>45834</v>
      </c>
      <c r="O79" s="90">
        <v>4708.8100000000004</v>
      </c>
      <c r="P79" s="91">
        <f t="shared" si="13"/>
        <v>50542.81</v>
      </c>
      <c r="Q79" s="123"/>
      <c r="R79" s="124"/>
      <c r="S79" s="125"/>
      <c r="T79" s="130">
        <v>102223</v>
      </c>
      <c r="U79" s="131">
        <v>17643.73</v>
      </c>
      <c r="V79" s="130">
        <f t="shared" si="16"/>
        <v>119866.73</v>
      </c>
      <c r="W79" s="130"/>
      <c r="X79" s="130"/>
      <c r="Y79" s="130"/>
      <c r="Z79" s="130"/>
      <c r="AA79" s="130"/>
      <c r="AB79" s="130"/>
      <c r="AC79" s="130">
        <f t="shared" si="46"/>
        <v>38164.879999999997</v>
      </c>
      <c r="AD79" s="130">
        <v>28544.31</v>
      </c>
      <c r="AE79" s="130">
        <v>9620.57</v>
      </c>
      <c r="AF79" s="130"/>
      <c r="AG79" s="130"/>
      <c r="AH79" s="130"/>
      <c r="AI79" s="88">
        <v>5</v>
      </c>
      <c r="AJ79" s="120"/>
      <c r="AK79" s="121"/>
      <c r="AL79" s="120"/>
    </row>
    <row r="80" spans="1:38" ht="11.4" customHeight="1">
      <c r="A80" s="88">
        <v>6</v>
      </c>
      <c r="B80" s="98">
        <v>46526</v>
      </c>
      <c r="C80" s="92">
        <v>592.64</v>
      </c>
      <c r="D80" s="92">
        <f t="shared" si="9"/>
        <v>47118.64</v>
      </c>
      <c r="E80" s="92">
        <v>41920.5</v>
      </c>
      <c r="F80" s="92">
        <v>37973.800000000003</v>
      </c>
      <c r="G80" s="93">
        <f t="shared" si="8"/>
        <v>3946.7</v>
      </c>
      <c r="H80" s="92">
        <v>53083.69</v>
      </c>
      <c r="I80" s="92">
        <v>48086</v>
      </c>
      <c r="J80" s="95">
        <f t="shared" si="7"/>
        <v>4997.6899999999996</v>
      </c>
      <c r="K80" s="140"/>
      <c r="L80" s="140"/>
      <c r="M80" s="141"/>
      <c r="N80" s="122">
        <v>45834</v>
      </c>
      <c r="O80" s="90">
        <v>4671.13</v>
      </c>
      <c r="P80" s="91">
        <f t="shared" si="13"/>
        <v>50505.13</v>
      </c>
      <c r="Q80" s="123"/>
      <c r="R80" s="124"/>
      <c r="S80" s="125"/>
      <c r="T80" s="130">
        <v>102223</v>
      </c>
      <c r="U80" s="131">
        <v>17624.12</v>
      </c>
      <c r="V80" s="130">
        <f t="shared" si="16"/>
        <v>119847.12</v>
      </c>
      <c r="W80" s="130"/>
      <c r="X80" s="130"/>
      <c r="Y80" s="130"/>
      <c r="Z80" s="130"/>
      <c r="AA80" s="130"/>
      <c r="AB80" s="130"/>
      <c r="AC80" s="130">
        <f t="shared" si="46"/>
        <v>38164.879999999997</v>
      </c>
      <c r="AD80" s="130">
        <v>28782.18</v>
      </c>
      <c r="AE80" s="130">
        <v>9382.7000000000007</v>
      </c>
      <c r="AF80" s="130"/>
      <c r="AG80" s="130"/>
      <c r="AH80" s="130"/>
      <c r="AI80" s="88">
        <v>6</v>
      </c>
      <c r="AJ80" s="120"/>
      <c r="AK80" s="121"/>
      <c r="AL80" s="120"/>
    </row>
    <row r="81" spans="1:38" ht="11.4" customHeight="1">
      <c r="A81" s="88"/>
      <c r="B81" s="115">
        <f>SUM(B78:B80)</f>
        <v>139578</v>
      </c>
      <c r="C81" s="115">
        <f t="shared" ref="C81:AH81" si="49">SUM(C78:C80)</f>
        <v>2345.17</v>
      </c>
      <c r="D81" s="115">
        <f t="shared" si="49"/>
        <v>141923.17000000001</v>
      </c>
      <c r="E81" s="115">
        <f t="shared" si="49"/>
        <v>125761.5</v>
      </c>
      <c r="F81" s="115">
        <f t="shared" si="49"/>
        <v>113261.99</v>
      </c>
      <c r="G81" s="115">
        <f t="shared" si="49"/>
        <v>12499.51</v>
      </c>
      <c r="H81" s="115">
        <f t="shared" si="49"/>
        <v>159251.07</v>
      </c>
      <c r="I81" s="115">
        <f t="shared" si="49"/>
        <v>143423</v>
      </c>
      <c r="J81" s="115">
        <f t="shared" si="49"/>
        <v>15828.07</v>
      </c>
      <c r="K81" s="115">
        <f t="shared" si="49"/>
        <v>0</v>
      </c>
      <c r="L81" s="115">
        <f t="shared" si="49"/>
        <v>0</v>
      </c>
      <c r="M81" s="115">
        <f t="shared" si="49"/>
        <v>0</v>
      </c>
      <c r="N81" s="115">
        <f t="shared" si="49"/>
        <v>137502</v>
      </c>
      <c r="O81" s="115">
        <f t="shared" si="49"/>
        <v>14440.35</v>
      </c>
      <c r="P81" s="115">
        <f t="shared" si="49"/>
        <v>151942.35</v>
      </c>
      <c r="Q81" s="115">
        <f t="shared" si="49"/>
        <v>0</v>
      </c>
      <c r="R81" s="115">
        <f t="shared" si="49"/>
        <v>0</v>
      </c>
      <c r="S81" s="115">
        <f t="shared" si="49"/>
        <v>0</v>
      </c>
      <c r="T81" s="115">
        <f t="shared" si="49"/>
        <v>306669</v>
      </c>
      <c r="U81" s="115">
        <f t="shared" si="49"/>
        <v>54107.44</v>
      </c>
      <c r="V81" s="115">
        <f t="shared" si="49"/>
        <v>360776.44</v>
      </c>
      <c r="W81" s="115">
        <f t="shared" si="49"/>
        <v>0</v>
      </c>
      <c r="X81" s="115">
        <f t="shared" si="49"/>
        <v>0</v>
      </c>
      <c r="Y81" s="115">
        <f t="shared" si="49"/>
        <v>0</v>
      </c>
      <c r="Z81" s="115">
        <f t="shared" si="49"/>
        <v>0</v>
      </c>
      <c r="AA81" s="115">
        <f t="shared" si="49"/>
        <v>0</v>
      </c>
      <c r="AB81" s="115">
        <f t="shared" si="49"/>
        <v>0</v>
      </c>
      <c r="AC81" s="115">
        <f t="shared" si="49"/>
        <v>114494.64</v>
      </c>
      <c r="AD81" s="115">
        <f t="shared" si="49"/>
        <v>85634.9</v>
      </c>
      <c r="AE81" s="115">
        <f t="shared" si="49"/>
        <v>28859.74</v>
      </c>
      <c r="AF81" s="115">
        <f t="shared" si="49"/>
        <v>0</v>
      </c>
      <c r="AG81" s="115">
        <f t="shared" si="49"/>
        <v>0</v>
      </c>
      <c r="AH81" s="115">
        <f t="shared" si="49"/>
        <v>0</v>
      </c>
      <c r="AI81" s="88"/>
      <c r="AJ81" s="120">
        <f t="shared" ref="AJ81:AK123" si="50">B81+F81+I81+K81+N81+Q81+T81+W81+Z81+AD81</f>
        <v>926068.89</v>
      </c>
      <c r="AK81" s="121">
        <f t="shared" si="50"/>
        <v>128080.28</v>
      </c>
      <c r="AL81" s="120">
        <f t="shared" ref="AL81:AL124" si="51">D81+E81+H81+M81+P81+S81+V81+Y81+AB81+AC81</f>
        <v>1054149.17</v>
      </c>
    </row>
    <row r="82" spans="1:38" ht="11.4" customHeight="1">
      <c r="A82" s="88">
        <v>7</v>
      </c>
      <c r="B82" s="98">
        <v>46526</v>
      </c>
      <c r="C82" s="92">
        <v>382.32</v>
      </c>
      <c r="D82" s="92">
        <f t="shared" si="9"/>
        <v>46908.32</v>
      </c>
      <c r="E82" s="92">
        <v>41920.5</v>
      </c>
      <c r="F82" s="92">
        <v>38195.32</v>
      </c>
      <c r="G82" s="93">
        <f t="shared" si="8"/>
        <v>3725.18</v>
      </c>
      <c r="H82" s="92">
        <v>53083.69</v>
      </c>
      <c r="I82" s="92">
        <v>48366.5</v>
      </c>
      <c r="J82" s="95">
        <f t="shared" si="7"/>
        <v>4717.1899999999996</v>
      </c>
      <c r="K82" s="140"/>
      <c r="L82" s="140"/>
      <c r="M82" s="141"/>
      <c r="N82" s="122">
        <v>45834</v>
      </c>
      <c r="O82" s="90">
        <v>4332.09</v>
      </c>
      <c r="P82" s="91">
        <f t="shared" si="13"/>
        <v>50166.09</v>
      </c>
      <c r="Q82" s="123"/>
      <c r="R82" s="124"/>
      <c r="S82" s="125"/>
      <c r="T82" s="130">
        <v>102223</v>
      </c>
      <c r="U82" s="131">
        <v>16467.46</v>
      </c>
      <c r="V82" s="130">
        <f t="shared" si="16"/>
        <v>118690.46</v>
      </c>
      <c r="W82" s="130"/>
      <c r="X82" s="130"/>
      <c r="Y82" s="130"/>
      <c r="Z82" s="130"/>
      <c r="AA82" s="130"/>
      <c r="AB82" s="130"/>
      <c r="AC82" s="130">
        <f t="shared" si="46"/>
        <v>38164.879999999997</v>
      </c>
      <c r="AD82" s="130">
        <v>29022.03</v>
      </c>
      <c r="AE82" s="130">
        <v>9142.85</v>
      </c>
      <c r="AF82" s="130"/>
      <c r="AG82" s="130"/>
      <c r="AH82" s="130"/>
      <c r="AI82" s="88">
        <v>7</v>
      </c>
      <c r="AJ82" s="120"/>
      <c r="AK82" s="121"/>
      <c r="AL82" s="120"/>
    </row>
    <row r="83" spans="1:38" ht="11.4" customHeight="1">
      <c r="A83" s="88">
        <v>8</v>
      </c>
      <c r="B83" s="98">
        <v>46506</v>
      </c>
      <c r="C83" s="92">
        <v>229.34</v>
      </c>
      <c r="D83" s="92">
        <f t="shared" si="9"/>
        <v>46735.34</v>
      </c>
      <c r="E83" s="92">
        <v>41920.5</v>
      </c>
      <c r="F83" s="92">
        <v>38418.120000000003</v>
      </c>
      <c r="G83" s="93">
        <f t="shared" si="8"/>
        <v>3502.38</v>
      </c>
      <c r="H83" s="92">
        <v>53083.69</v>
      </c>
      <c r="I83" s="92">
        <v>48648.639999999999</v>
      </c>
      <c r="J83" s="95">
        <f t="shared" si="7"/>
        <v>4435.05</v>
      </c>
      <c r="K83" s="140"/>
      <c r="L83" s="140"/>
      <c r="M83" s="141"/>
      <c r="N83" s="122">
        <v>45834</v>
      </c>
      <c r="O83" s="90">
        <v>4281.8599999999997</v>
      </c>
      <c r="P83" s="91">
        <f t="shared" si="13"/>
        <v>50115.86</v>
      </c>
      <c r="Q83" s="123"/>
      <c r="R83" s="124"/>
      <c r="S83" s="125"/>
      <c r="T83" s="130">
        <v>102223</v>
      </c>
      <c r="U83" s="131">
        <v>16408.64</v>
      </c>
      <c r="V83" s="130">
        <f t="shared" si="16"/>
        <v>118631.64</v>
      </c>
      <c r="W83" s="130"/>
      <c r="X83" s="130"/>
      <c r="Y83" s="130"/>
      <c r="Z83" s="130"/>
      <c r="AA83" s="130"/>
      <c r="AB83" s="130"/>
      <c r="AC83" s="130">
        <f t="shared" si="46"/>
        <v>38164.879999999997</v>
      </c>
      <c r="AD83" s="130">
        <v>29263.88</v>
      </c>
      <c r="AE83" s="130">
        <v>8901</v>
      </c>
      <c r="AF83" s="130"/>
      <c r="AG83" s="130"/>
      <c r="AH83" s="130"/>
      <c r="AI83" s="88">
        <v>8</v>
      </c>
      <c r="AJ83" s="120"/>
      <c r="AK83" s="121"/>
      <c r="AL83" s="120"/>
    </row>
    <row r="84" spans="1:38" ht="11.4" customHeight="1">
      <c r="A84" s="88">
        <v>9</v>
      </c>
      <c r="B84" s="98"/>
      <c r="C84" s="140"/>
      <c r="D84" s="140"/>
      <c r="E84" s="92">
        <v>41920.5</v>
      </c>
      <c r="F84" s="92">
        <v>38642.230000000003</v>
      </c>
      <c r="G84" s="93">
        <f t="shared" si="8"/>
        <v>3278.27</v>
      </c>
      <c r="H84" s="92">
        <v>53083.69</v>
      </c>
      <c r="I84" s="92">
        <v>48932.43</v>
      </c>
      <c r="J84" s="95">
        <f t="shared" si="7"/>
        <v>4151.26</v>
      </c>
      <c r="K84" s="140"/>
      <c r="L84" s="140"/>
      <c r="M84" s="141"/>
      <c r="N84" s="122">
        <v>45834</v>
      </c>
      <c r="O84" s="90">
        <v>4087.22</v>
      </c>
      <c r="P84" s="91">
        <f t="shared" si="13"/>
        <v>49921.22</v>
      </c>
      <c r="Q84" s="123"/>
      <c r="R84" s="124"/>
      <c r="S84" s="125"/>
      <c r="T84" s="130">
        <v>102223</v>
      </c>
      <c r="U84" s="131">
        <v>15800.91</v>
      </c>
      <c r="V84" s="130">
        <f t="shared" si="16"/>
        <v>118023.91</v>
      </c>
      <c r="W84" s="130"/>
      <c r="X84" s="130"/>
      <c r="Y84" s="130"/>
      <c r="Z84" s="130"/>
      <c r="AA84" s="130"/>
      <c r="AB84" s="130"/>
      <c r="AC84" s="130">
        <f t="shared" si="46"/>
        <v>38164.879999999997</v>
      </c>
      <c r="AD84" s="130">
        <v>29507.75</v>
      </c>
      <c r="AE84" s="130">
        <v>8657.1299999999992</v>
      </c>
      <c r="AF84" s="130"/>
      <c r="AG84" s="130"/>
      <c r="AH84" s="130"/>
      <c r="AI84" s="88">
        <v>9</v>
      </c>
      <c r="AJ84" s="120"/>
      <c r="AK84" s="121"/>
      <c r="AL84" s="120"/>
    </row>
    <row r="85" spans="1:38" ht="11.4" customHeight="1">
      <c r="A85" s="88"/>
      <c r="B85" s="115">
        <f>SUM(B82:B84)</f>
        <v>93032</v>
      </c>
      <c r="C85" s="115">
        <f t="shared" ref="C85:AH85" si="52">SUM(C82:C84)</f>
        <v>611.66</v>
      </c>
      <c r="D85" s="115">
        <f t="shared" si="52"/>
        <v>93643.66</v>
      </c>
      <c r="E85" s="115">
        <f t="shared" si="52"/>
        <v>125761.5</v>
      </c>
      <c r="F85" s="115">
        <f t="shared" si="52"/>
        <v>115255.67</v>
      </c>
      <c r="G85" s="115">
        <f t="shared" si="52"/>
        <v>10505.83</v>
      </c>
      <c r="H85" s="115">
        <f t="shared" si="52"/>
        <v>159251.07</v>
      </c>
      <c r="I85" s="115">
        <f t="shared" si="52"/>
        <v>145947.57</v>
      </c>
      <c r="J85" s="115">
        <f t="shared" si="52"/>
        <v>13303.5</v>
      </c>
      <c r="K85" s="115">
        <f t="shared" si="52"/>
        <v>0</v>
      </c>
      <c r="L85" s="115">
        <f t="shared" si="52"/>
        <v>0</v>
      </c>
      <c r="M85" s="115">
        <f t="shared" si="52"/>
        <v>0</v>
      </c>
      <c r="N85" s="115">
        <f t="shared" si="52"/>
        <v>137502</v>
      </c>
      <c r="O85" s="115">
        <f t="shared" si="52"/>
        <v>12701.17</v>
      </c>
      <c r="P85" s="115">
        <f t="shared" si="52"/>
        <v>150203.17000000001</v>
      </c>
      <c r="Q85" s="115">
        <f t="shared" si="52"/>
        <v>0</v>
      </c>
      <c r="R85" s="115">
        <f t="shared" si="52"/>
        <v>0</v>
      </c>
      <c r="S85" s="115">
        <f t="shared" si="52"/>
        <v>0</v>
      </c>
      <c r="T85" s="115">
        <f t="shared" si="52"/>
        <v>306669</v>
      </c>
      <c r="U85" s="115">
        <f t="shared" si="52"/>
        <v>48677.01</v>
      </c>
      <c r="V85" s="115">
        <f t="shared" si="52"/>
        <v>355346.01</v>
      </c>
      <c r="W85" s="115">
        <f t="shared" si="52"/>
        <v>0</v>
      </c>
      <c r="X85" s="115">
        <f t="shared" si="52"/>
        <v>0</v>
      </c>
      <c r="Y85" s="115">
        <f t="shared" si="52"/>
        <v>0</v>
      </c>
      <c r="Z85" s="115">
        <f t="shared" si="52"/>
        <v>0</v>
      </c>
      <c r="AA85" s="115">
        <f t="shared" si="52"/>
        <v>0</v>
      </c>
      <c r="AB85" s="115">
        <f t="shared" si="52"/>
        <v>0</v>
      </c>
      <c r="AC85" s="115">
        <f t="shared" si="52"/>
        <v>114494.64</v>
      </c>
      <c r="AD85" s="115">
        <f t="shared" si="52"/>
        <v>87793.66</v>
      </c>
      <c r="AE85" s="115">
        <f t="shared" si="52"/>
        <v>26700.98</v>
      </c>
      <c r="AF85" s="115">
        <f t="shared" si="52"/>
        <v>0</v>
      </c>
      <c r="AG85" s="115">
        <f t="shared" si="52"/>
        <v>0</v>
      </c>
      <c r="AH85" s="115">
        <f t="shared" si="52"/>
        <v>0</v>
      </c>
      <c r="AI85" s="88"/>
      <c r="AJ85" s="120">
        <f t="shared" si="50"/>
        <v>886199.9</v>
      </c>
      <c r="AK85" s="121">
        <f t="shared" si="50"/>
        <v>112500.15</v>
      </c>
      <c r="AL85" s="120">
        <f t="shared" si="51"/>
        <v>998700.05</v>
      </c>
    </row>
    <row r="86" spans="1:38" ht="11.4" customHeight="1">
      <c r="A86" s="88">
        <v>10</v>
      </c>
      <c r="B86" s="98"/>
      <c r="C86" s="140"/>
      <c r="D86" s="140"/>
      <c r="E86" s="92">
        <v>41920.5</v>
      </c>
      <c r="F86" s="92">
        <v>38867.64</v>
      </c>
      <c r="G86" s="93">
        <f t="shared" si="8"/>
        <v>3052.86</v>
      </c>
      <c r="H86" s="92">
        <v>53083.69</v>
      </c>
      <c r="I86" s="92">
        <v>49217.86</v>
      </c>
      <c r="J86" s="95">
        <f t="shared" si="7"/>
        <v>3865.83</v>
      </c>
      <c r="K86" s="140"/>
      <c r="L86" s="140"/>
      <c r="M86" s="141"/>
      <c r="N86" s="122">
        <v>45834</v>
      </c>
      <c r="O86" s="90">
        <v>3767.01</v>
      </c>
      <c r="P86" s="91">
        <f t="shared" si="13"/>
        <v>49601.01</v>
      </c>
      <c r="Q86" s="123"/>
      <c r="R86" s="124"/>
      <c r="S86" s="125"/>
      <c r="T86" s="130">
        <v>102223</v>
      </c>
      <c r="U86" s="131">
        <v>14703.07</v>
      </c>
      <c r="V86" s="130">
        <f t="shared" si="16"/>
        <v>116926.07</v>
      </c>
      <c r="W86" s="130"/>
      <c r="X86" s="130"/>
      <c r="Y86" s="130"/>
      <c r="Z86" s="130"/>
      <c r="AA86" s="130"/>
      <c r="AB86" s="130"/>
      <c r="AC86" s="130">
        <f t="shared" si="46"/>
        <v>38164.879999999997</v>
      </c>
      <c r="AD86" s="130">
        <v>29753.65</v>
      </c>
      <c r="AE86" s="130">
        <v>8411.23</v>
      </c>
      <c r="AF86" s="130"/>
      <c r="AG86" s="130"/>
      <c r="AH86" s="130"/>
      <c r="AI86" s="88">
        <v>10</v>
      </c>
      <c r="AJ86" s="120"/>
      <c r="AK86" s="121"/>
      <c r="AL86" s="120"/>
    </row>
    <row r="87" spans="1:38" ht="11.4" customHeight="1">
      <c r="A87" s="88">
        <v>11</v>
      </c>
      <c r="B87" s="98"/>
      <c r="C87" s="140"/>
      <c r="D87" s="140"/>
      <c r="E87" s="92">
        <v>41920.5</v>
      </c>
      <c r="F87" s="92">
        <v>39094.370000000003</v>
      </c>
      <c r="G87" s="93">
        <f t="shared" si="8"/>
        <v>2826.13</v>
      </c>
      <c r="H87" s="92">
        <v>53083.69</v>
      </c>
      <c r="I87" s="92">
        <v>49504.97</v>
      </c>
      <c r="J87" s="95">
        <f t="shared" si="7"/>
        <v>3578.72</v>
      </c>
      <c r="K87" s="140"/>
      <c r="L87" s="140"/>
      <c r="M87" s="141"/>
      <c r="N87" s="122">
        <v>45834</v>
      </c>
      <c r="O87" s="90">
        <v>3697.94</v>
      </c>
      <c r="P87" s="91">
        <f t="shared" si="13"/>
        <v>49531.94</v>
      </c>
      <c r="Q87" s="123"/>
      <c r="R87" s="124"/>
      <c r="S87" s="125"/>
      <c r="T87" s="130">
        <v>102223</v>
      </c>
      <c r="U87" s="131">
        <v>14585.43</v>
      </c>
      <c r="V87" s="130">
        <f t="shared" si="16"/>
        <v>116808.43</v>
      </c>
      <c r="W87" s="130"/>
      <c r="X87" s="130"/>
      <c r="Y87" s="130"/>
      <c r="Z87" s="130"/>
      <c r="AA87" s="130"/>
      <c r="AB87" s="130"/>
      <c r="AC87" s="130">
        <f t="shared" si="46"/>
        <v>38164.879999999997</v>
      </c>
      <c r="AD87" s="130">
        <v>30001.59</v>
      </c>
      <c r="AE87" s="130">
        <v>8163.29</v>
      </c>
      <c r="AF87" s="130"/>
      <c r="AG87" s="130"/>
      <c r="AH87" s="130"/>
      <c r="AI87" s="88">
        <v>11</v>
      </c>
      <c r="AJ87" s="120"/>
      <c r="AK87" s="121"/>
      <c r="AL87" s="120"/>
    </row>
    <row r="88" spans="1:38" ht="11.4" customHeight="1">
      <c r="A88" s="88">
        <v>12</v>
      </c>
      <c r="B88" s="98"/>
      <c r="C88" s="140"/>
      <c r="D88" s="140"/>
      <c r="E88" s="92">
        <v>41920.5</v>
      </c>
      <c r="F88" s="92">
        <v>39322.42</v>
      </c>
      <c r="G88" s="93">
        <f t="shared" si="8"/>
        <v>2598.08</v>
      </c>
      <c r="H88" s="92">
        <v>53083.69</v>
      </c>
      <c r="I88" s="92">
        <v>49793.75</v>
      </c>
      <c r="J88" s="95">
        <f t="shared" si="7"/>
        <v>3289.94</v>
      </c>
      <c r="K88" s="140"/>
      <c r="L88" s="140"/>
      <c r="M88" s="141"/>
      <c r="N88" s="122">
        <v>45834</v>
      </c>
      <c r="O88" s="90">
        <v>3390.3</v>
      </c>
      <c r="P88" s="91">
        <f t="shared" si="13"/>
        <v>49224.3</v>
      </c>
      <c r="Q88" s="123"/>
      <c r="R88" s="124"/>
      <c r="S88" s="125"/>
      <c r="T88" s="130">
        <v>102223</v>
      </c>
      <c r="U88" s="131">
        <v>13526.8</v>
      </c>
      <c r="V88" s="130">
        <f t="shared" si="16"/>
        <v>115749.8</v>
      </c>
      <c r="W88" s="130"/>
      <c r="X88" s="130"/>
      <c r="Y88" s="130"/>
      <c r="Z88" s="130"/>
      <c r="AA88" s="130"/>
      <c r="AB88" s="130"/>
      <c r="AC88" s="130">
        <f t="shared" si="46"/>
        <v>38164.879999999997</v>
      </c>
      <c r="AD88" s="130">
        <v>30251.61</v>
      </c>
      <c r="AE88" s="130">
        <v>7913.27</v>
      </c>
      <c r="AF88" s="130"/>
      <c r="AG88" s="130"/>
      <c r="AH88" s="130"/>
      <c r="AI88" s="88">
        <v>12</v>
      </c>
      <c r="AJ88" s="120"/>
      <c r="AK88" s="121"/>
      <c r="AL88" s="120"/>
    </row>
    <row r="89" spans="1:38" ht="11.4" customHeight="1">
      <c r="A89" s="88"/>
      <c r="B89" s="98"/>
      <c r="C89" s="140"/>
      <c r="D89" s="140"/>
      <c r="E89" s="116">
        <f>SUM(E86:E88)</f>
        <v>125761.5</v>
      </c>
      <c r="F89" s="116">
        <f t="shared" ref="F89:AH89" si="53">SUM(F86:F88)</f>
        <v>117284.43</v>
      </c>
      <c r="G89" s="116">
        <f t="shared" si="53"/>
        <v>8477.07</v>
      </c>
      <c r="H89" s="116">
        <f t="shared" si="53"/>
        <v>159251.07</v>
      </c>
      <c r="I89" s="116">
        <f t="shared" si="53"/>
        <v>148516.57999999999</v>
      </c>
      <c r="J89" s="116">
        <f t="shared" si="53"/>
        <v>10734.49</v>
      </c>
      <c r="K89" s="116">
        <f t="shared" si="53"/>
        <v>0</v>
      </c>
      <c r="L89" s="116">
        <f t="shared" si="53"/>
        <v>0</v>
      </c>
      <c r="M89" s="116">
        <f t="shared" si="53"/>
        <v>0</v>
      </c>
      <c r="N89" s="116">
        <f t="shared" si="53"/>
        <v>137502</v>
      </c>
      <c r="O89" s="116">
        <f t="shared" si="53"/>
        <v>10855.25</v>
      </c>
      <c r="P89" s="116">
        <f t="shared" si="53"/>
        <v>148357.25</v>
      </c>
      <c r="Q89" s="116">
        <f t="shared" si="53"/>
        <v>0</v>
      </c>
      <c r="R89" s="116">
        <f t="shared" si="53"/>
        <v>0</v>
      </c>
      <c r="S89" s="116">
        <f t="shared" si="53"/>
        <v>0</v>
      </c>
      <c r="T89" s="116">
        <f t="shared" si="53"/>
        <v>306669</v>
      </c>
      <c r="U89" s="116">
        <f t="shared" si="53"/>
        <v>42815.3</v>
      </c>
      <c r="V89" s="116">
        <f t="shared" si="53"/>
        <v>349484.3</v>
      </c>
      <c r="W89" s="116">
        <f t="shared" si="53"/>
        <v>0</v>
      </c>
      <c r="X89" s="116">
        <f t="shared" si="53"/>
        <v>0</v>
      </c>
      <c r="Y89" s="116">
        <f t="shared" si="53"/>
        <v>0</v>
      </c>
      <c r="Z89" s="116">
        <f t="shared" si="53"/>
        <v>0</v>
      </c>
      <c r="AA89" s="116">
        <f t="shared" si="53"/>
        <v>0</v>
      </c>
      <c r="AB89" s="116">
        <f t="shared" si="53"/>
        <v>0</v>
      </c>
      <c r="AC89" s="116">
        <f t="shared" si="53"/>
        <v>114494.64</v>
      </c>
      <c r="AD89" s="116">
        <f t="shared" si="53"/>
        <v>90006.85</v>
      </c>
      <c r="AE89" s="116">
        <f t="shared" si="53"/>
        <v>24487.79</v>
      </c>
      <c r="AF89" s="116">
        <f t="shared" si="53"/>
        <v>0</v>
      </c>
      <c r="AG89" s="116">
        <f t="shared" si="53"/>
        <v>0</v>
      </c>
      <c r="AH89" s="116">
        <f t="shared" si="53"/>
        <v>0</v>
      </c>
      <c r="AI89" s="88"/>
      <c r="AJ89" s="120">
        <f t="shared" si="50"/>
        <v>799978.86</v>
      </c>
      <c r="AK89" s="121">
        <f t="shared" si="50"/>
        <v>97369.9</v>
      </c>
      <c r="AL89" s="120">
        <f t="shared" si="51"/>
        <v>897348.76</v>
      </c>
    </row>
    <row r="90" spans="1:38" ht="11.4" customHeight="1">
      <c r="A90" s="135" t="s">
        <v>478</v>
      </c>
      <c r="B90" s="111">
        <f>B77+B81+B85+B89</f>
        <v>372188</v>
      </c>
      <c r="C90" s="111">
        <f t="shared" ref="C90:AH90" si="54">C77+C81+C85+C89</f>
        <v>6990.96</v>
      </c>
      <c r="D90" s="111">
        <f t="shared" si="54"/>
        <v>379178.96</v>
      </c>
      <c r="E90" s="111">
        <f t="shared" si="54"/>
        <v>503046</v>
      </c>
      <c r="F90" s="111">
        <f t="shared" si="54"/>
        <v>457104.9</v>
      </c>
      <c r="G90" s="111">
        <f t="shared" si="54"/>
        <v>45941.1</v>
      </c>
      <c r="H90" s="111">
        <f t="shared" si="54"/>
        <v>637004.28</v>
      </c>
      <c r="I90" s="111">
        <f t="shared" si="54"/>
        <v>578829.25</v>
      </c>
      <c r="J90" s="111">
        <f t="shared" si="54"/>
        <v>58175.03</v>
      </c>
      <c r="K90" s="111">
        <f t="shared" si="54"/>
        <v>0</v>
      </c>
      <c r="L90" s="111">
        <f t="shared" si="54"/>
        <v>0</v>
      </c>
      <c r="M90" s="111">
        <f t="shared" si="54"/>
        <v>0</v>
      </c>
      <c r="N90" s="111">
        <f t="shared" si="54"/>
        <v>550008</v>
      </c>
      <c r="O90" s="111">
        <f t="shared" si="54"/>
        <v>53837.26</v>
      </c>
      <c r="P90" s="111">
        <f t="shared" si="54"/>
        <v>603845.26</v>
      </c>
      <c r="Q90" s="111">
        <f t="shared" si="54"/>
        <v>0</v>
      </c>
      <c r="R90" s="111">
        <f t="shared" si="54"/>
        <v>0</v>
      </c>
      <c r="S90" s="111">
        <f t="shared" si="54"/>
        <v>0</v>
      </c>
      <c r="T90" s="111">
        <f t="shared" si="54"/>
        <v>1226676</v>
      </c>
      <c r="U90" s="111">
        <f t="shared" si="54"/>
        <v>203882.94</v>
      </c>
      <c r="V90" s="111">
        <f t="shared" si="54"/>
        <v>1430558.94</v>
      </c>
      <c r="W90" s="111">
        <f t="shared" si="54"/>
        <v>0</v>
      </c>
      <c r="X90" s="111">
        <f t="shared" si="54"/>
        <v>0</v>
      </c>
      <c r="Y90" s="111">
        <f t="shared" si="54"/>
        <v>0</v>
      </c>
      <c r="Z90" s="111">
        <f t="shared" si="54"/>
        <v>0</v>
      </c>
      <c r="AA90" s="111">
        <f t="shared" si="54"/>
        <v>0</v>
      </c>
      <c r="AB90" s="111">
        <f t="shared" si="54"/>
        <v>0</v>
      </c>
      <c r="AC90" s="111">
        <f t="shared" si="54"/>
        <v>457978.56</v>
      </c>
      <c r="AD90" s="111">
        <f t="shared" si="54"/>
        <v>346964.62</v>
      </c>
      <c r="AE90" s="111">
        <f t="shared" si="54"/>
        <v>111013.94</v>
      </c>
      <c r="AF90" s="111">
        <f t="shared" si="54"/>
        <v>833332</v>
      </c>
      <c r="AG90" s="111">
        <f t="shared" si="54"/>
        <v>4252.28</v>
      </c>
      <c r="AH90" s="111">
        <f t="shared" si="54"/>
        <v>837584.28</v>
      </c>
      <c r="AI90" s="135" t="s">
        <v>478</v>
      </c>
      <c r="AJ90" s="120">
        <f>B90+F90+I90+K90+N90+Q90+T90+W90+Z90+AD90+AF90</f>
        <v>4365102.7699999996</v>
      </c>
      <c r="AK90" s="121">
        <f>C90+G90+J90+L90+O90+R90+U90+X90+AA90+AE90+AG90</f>
        <v>484093.51</v>
      </c>
      <c r="AL90" s="120">
        <f>D90+E90+H90+M90+P90+S90+V90+Y90+AB90+AC90+AH90</f>
        <v>4849196.28</v>
      </c>
    </row>
    <row r="91" spans="1:38" ht="11.4" customHeight="1">
      <c r="A91" s="88" t="s">
        <v>479</v>
      </c>
      <c r="B91" s="144"/>
      <c r="C91" s="140"/>
      <c r="D91" s="140"/>
      <c r="E91" s="92">
        <v>41920.5</v>
      </c>
      <c r="F91" s="92">
        <v>39551.800000000003</v>
      </c>
      <c r="G91" s="93">
        <f t="shared" si="8"/>
        <v>2368.6999999999998</v>
      </c>
      <c r="H91" s="92">
        <v>53083.69</v>
      </c>
      <c r="I91" s="92">
        <v>50084.21</v>
      </c>
      <c r="J91" s="95">
        <f t="shared" si="7"/>
        <v>2999.48</v>
      </c>
      <c r="K91" s="140"/>
      <c r="L91" s="140"/>
      <c r="M91" s="141"/>
      <c r="N91" s="122">
        <v>45834</v>
      </c>
      <c r="O91" s="90">
        <v>3308.67</v>
      </c>
      <c r="P91" s="91">
        <f t="shared" si="13"/>
        <v>49142.67</v>
      </c>
      <c r="Q91" s="123"/>
      <c r="R91" s="124"/>
      <c r="S91" s="125"/>
      <c r="T91" s="130">
        <v>102223</v>
      </c>
      <c r="U91" s="131">
        <v>13369.96</v>
      </c>
      <c r="V91" s="130">
        <f t="shared" si="16"/>
        <v>115592.96000000001</v>
      </c>
      <c r="W91" s="130"/>
      <c r="X91" s="130"/>
      <c r="Y91" s="130"/>
      <c r="Z91" s="130"/>
      <c r="AA91" s="130"/>
      <c r="AB91" s="130"/>
      <c r="AC91" s="130">
        <f t="shared" si="46"/>
        <v>38164.879999999997</v>
      </c>
      <c r="AD91" s="130">
        <v>30503.7</v>
      </c>
      <c r="AE91" s="130">
        <v>7661.18</v>
      </c>
      <c r="AF91" s="130"/>
      <c r="AG91" s="130"/>
      <c r="AH91" s="130"/>
      <c r="AI91" s="88" t="s">
        <v>479</v>
      </c>
      <c r="AJ91" s="120">
        <f>AJ77+AJ81+AJ85+AJ89</f>
        <v>4365102.7699999996</v>
      </c>
      <c r="AK91" s="120">
        <f t="shared" ref="AK91:AL91" si="55">AK77+AK81+AK85+AK89</f>
        <v>484093.51</v>
      </c>
      <c r="AL91" s="120">
        <f t="shared" si="55"/>
        <v>4849196.28</v>
      </c>
    </row>
    <row r="92" spans="1:38" ht="11.4" customHeight="1">
      <c r="A92" s="88">
        <v>2</v>
      </c>
      <c r="B92" s="144"/>
      <c r="C92" s="140"/>
      <c r="D92" s="140"/>
      <c r="E92" s="92">
        <v>41920.5</v>
      </c>
      <c r="F92" s="92">
        <v>39782.519999999997</v>
      </c>
      <c r="G92" s="93">
        <f t="shared" si="8"/>
        <v>2137.98</v>
      </c>
      <c r="H92" s="92">
        <v>53083.69</v>
      </c>
      <c r="I92" s="92">
        <v>50376.37</v>
      </c>
      <c r="J92" s="95">
        <f t="shared" si="7"/>
        <v>2707.32</v>
      </c>
      <c r="K92" s="140"/>
      <c r="L92" s="140"/>
      <c r="M92" s="141"/>
      <c r="N92" s="122">
        <v>45834</v>
      </c>
      <c r="O92" s="90">
        <v>3114.03</v>
      </c>
      <c r="P92" s="91">
        <f t="shared" si="13"/>
        <v>48948.03</v>
      </c>
      <c r="Q92" s="123"/>
      <c r="R92" s="124"/>
      <c r="S92" s="125"/>
      <c r="T92" s="130">
        <v>102223</v>
      </c>
      <c r="U92" s="131">
        <v>12762.22</v>
      </c>
      <c r="V92" s="130">
        <f t="shared" si="16"/>
        <v>114985.22</v>
      </c>
      <c r="W92" s="130"/>
      <c r="X92" s="130"/>
      <c r="Y92" s="130"/>
      <c r="Z92" s="130"/>
      <c r="AA92" s="130"/>
      <c r="AB92" s="130"/>
      <c r="AC92" s="130">
        <f t="shared" si="46"/>
        <v>38164.879999999997</v>
      </c>
      <c r="AD92" s="130">
        <v>30757.9</v>
      </c>
      <c r="AE92" s="130">
        <v>7406.98</v>
      </c>
      <c r="AF92" s="130"/>
      <c r="AG92" s="130"/>
      <c r="AH92" s="130"/>
      <c r="AI92" s="88">
        <v>2</v>
      </c>
      <c r="AJ92" s="120"/>
      <c r="AK92" s="120"/>
      <c r="AL92" s="120"/>
    </row>
    <row r="93" spans="1:38" ht="11.4" customHeight="1">
      <c r="A93" s="88">
        <v>3</v>
      </c>
      <c r="B93" s="144"/>
      <c r="C93" s="140"/>
      <c r="D93" s="140"/>
      <c r="E93" s="92">
        <v>41920.5</v>
      </c>
      <c r="F93" s="92">
        <v>40014.58</v>
      </c>
      <c r="G93" s="93">
        <f t="shared" si="8"/>
        <v>1905.92</v>
      </c>
      <c r="H93" s="92">
        <v>53083.69</v>
      </c>
      <c r="I93" s="92">
        <v>50670.23</v>
      </c>
      <c r="J93" s="95">
        <f t="shared" si="7"/>
        <v>2413.46</v>
      </c>
      <c r="K93" s="140"/>
      <c r="L93" s="140"/>
      <c r="M93" s="141"/>
      <c r="N93" s="122">
        <v>45834</v>
      </c>
      <c r="O93" s="90">
        <v>2636.87</v>
      </c>
      <c r="P93" s="91">
        <f t="shared" si="13"/>
        <v>48470.87</v>
      </c>
      <c r="Q93" s="123"/>
      <c r="R93" s="124"/>
      <c r="S93" s="125"/>
      <c r="T93" s="130">
        <v>102223</v>
      </c>
      <c r="U93" s="131">
        <v>10978.24</v>
      </c>
      <c r="V93" s="130">
        <f t="shared" si="16"/>
        <v>113201.24</v>
      </c>
      <c r="W93" s="130"/>
      <c r="X93" s="130"/>
      <c r="Y93" s="130"/>
      <c r="Z93" s="130"/>
      <c r="AA93" s="130"/>
      <c r="AB93" s="130"/>
      <c r="AC93" s="130">
        <f t="shared" si="46"/>
        <v>38164.879999999997</v>
      </c>
      <c r="AD93" s="130">
        <v>31014.22</v>
      </c>
      <c r="AE93" s="130">
        <v>7150.66</v>
      </c>
      <c r="AF93" s="130"/>
      <c r="AG93" s="130"/>
      <c r="AH93" s="130"/>
      <c r="AI93" s="88">
        <v>3</v>
      </c>
      <c r="AJ93" s="120"/>
      <c r="AK93" s="120"/>
      <c r="AL93" s="120"/>
    </row>
    <row r="94" spans="1:38" ht="11.4" customHeight="1">
      <c r="A94" s="88"/>
      <c r="B94" s="144"/>
      <c r="C94" s="140"/>
      <c r="D94" s="140"/>
      <c r="E94" s="116">
        <f>SUM(E91:E93)</f>
        <v>125761.5</v>
      </c>
      <c r="F94" s="116">
        <f t="shared" ref="F94:AH94" si="56">SUM(F91:F93)</f>
        <v>119348.9</v>
      </c>
      <c r="G94" s="116">
        <f t="shared" si="56"/>
        <v>6412.6</v>
      </c>
      <c r="H94" s="116">
        <f t="shared" si="56"/>
        <v>159251.07</v>
      </c>
      <c r="I94" s="116">
        <f t="shared" si="56"/>
        <v>151130.81</v>
      </c>
      <c r="J94" s="116">
        <f t="shared" si="56"/>
        <v>8120.26</v>
      </c>
      <c r="K94" s="116">
        <f t="shared" si="56"/>
        <v>0</v>
      </c>
      <c r="L94" s="116">
        <f t="shared" si="56"/>
        <v>0</v>
      </c>
      <c r="M94" s="116">
        <f t="shared" si="56"/>
        <v>0</v>
      </c>
      <c r="N94" s="116">
        <f t="shared" si="56"/>
        <v>137502</v>
      </c>
      <c r="O94" s="116">
        <f t="shared" si="56"/>
        <v>9059.57</v>
      </c>
      <c r="P94" s="116">
        <f t="shared" si="56"/>
        <v>146561.57</v>
      </c>
      <c r="Q94" s="116">
        <f t="shared" si="56"/>
        <v>0</v>
      </c>
      <c r="R94" s="116">
        <f t="shared" si="56"/>
        <v>0</v>
      </c>
      <c r="S94" s="116">
        <f t="shared" si="56"/>
        <v>0</v>
      </c>
      <c r="T94" s="116">
        <f t="shared" si="56"/>
        <v>306669</v>
      </c>
      <c r="U94" s="116">
        <f t="shared" si="56"/>
        <v>37110.42</v>
      </c>
      <c r="V94" s="116">
        <f t="shared" si="56"/>
        <v>343779.42</v>
      </c>
      <c r="W94" s="116">
        <f t="shared" si="56"/>
        <v>0</v>
      </c>
      <c r="X94" s="116">
        <f t="shared" si="56"/>
        <v>0</v>
      </c>
      <c r="Y94" s="116">
        <f t="shared" si="56"/>
        <v>0</v>
      </c>
      <c r="Z94" s="116">
        <f t="shared" si="56"/>
        <v>0</v>
      </c>
      <c r="AA94" s="116">
        <f t="shared" si="56"/>
        <v>0</v>
      </c>
      <c r="AB94" s="116">
        <f t="shared" si="56"/>
        <v>0</v>
      </c>
      <c r="AC94" s="116">
        <f t="shared" si="56"/>
        <v>114494.64</v>
      </c>
      <c r="AD94" s="116">
        <f t="shared" si="56"/>
        <v>92275.82</v>
      </c>
      <c r="AE94" s="116">
        <f t="shared" si="56"/>
        <v>22218.82</v>
      </c>
      <c r="AF94" s="116">
        <f t="shared" si="56"/>
        <v>0</v>
      </c>
      <c r="AG94" s="116">
        <f t="shared" si="56"/>
        <v>0</v>
      </c>
      <c r="AH94" s="116">
        <f t="shared" si="56"/>
        <v>0</v>
      </c>
      <c r="AI94" s="88"/>
      <c r="AJ94" s="120">
        <f t="shared" si="50"/>
        <v>806926.53</v>
      </c>
      <c r="AK94" s="121">
        <f t="shared" si="50"/>
        <v>82921.67</v>
      </c>
      <c r="AL94" s="120">
        <f t="shared" si="51"/>
        <v>889848.2</v>
      </c>
    </row>
    <row r="95" spans="1:38" ht="11.4" customHeight="1">
      <c r="A95" s="88">
        <v>4</v>
      </c>
      <c r="B95" s="144"/>
      <c r="C95" s="140"/>
      <c r="D95" s="140"/>
      <c r="E95" s="92">
        <v>41920.5</v>
      </c>
      <c r="F95" s="92">
        <v>40248</v>
      </c>
      <c r="G95" s="93">
        <f t="shared" si="8"/>
        <v>1672.5</v>
      </c>
      <c r="H95" s="92">
        <v>53083.69</v>
      </c>
      <c r="I95" s="92">
        <v>50965.81</v>
      </c>
      <c r="J95" s="95">
        <f t="shared" si="7"/>
        <v>2117.88</v>
      </c>
      <c r="K95" s="140"/>
      <c r="L95" s="140"/>
      <c r="M95" s="141"/>
      <c r="N95" s="122">
        <v>45834</v>
      </c>
      <c r="O95" s="90">
        <v>2724.76</v>
      </c>
      <c r="P95" s="91">
        <f t="shared" si="13"/>
        <v>48558.76</v>
      </c>
      <c r="Q95" s="123"/>
      <c r="R95" s="124"/>
      <c r="S95" s="125"/>
      <c r="T95" s="130">
        <v>102223</v>
      </c>
      <c r="U95" s="131">
        <v>11546.75</v>
      </c>
      <c r="V95" s="130">
        <f t="shared" si="16"/>
        <v>113769.75</v>
      </c>
      <c r="W95" s="130"/>
      <c r="X95" s="130"/>
      <c r="Y95" s="130"/>
      <c r="Z95" s="130"/>
      <c r="AA95" s="130"/>
      <c r="AB95" s="130"/>
      <c r="AC95" s="130">
        <f t="shared" si="46"/>
        <v>38164.879999999997</v>
      </c>
      <c r="AD95" s="130">
        <v>31272.67</v>
      </c>
      <c r="AE95" s="130">
        <v>6892.21</v>
      </c>
      <c r="AF95" s="130"/>
      <c r="AG95" s="130"/>
      <c r="AH95" s="130"/>
      <c r="AI95" s="88">
        <v>4</v>
      </c>
      <c r="AJ95" s="120"/>
      <c r="AK95" s="121"/>
      <c r="AL95" s="120"/>
    </row>
    <row r="96" spans="1:38" ht="11.4" customHeight="1">
      <c r="A96" s="88">
        <v>5</v>
      </c>
      <c r="B96" s="144"/>
      <c r="C96" s="140"/>
      <c r="D96" s="140"/>
      <c r="E96" s="92">
        <v>41920.5</v>
      </c>
      <c r="F96" s="140">
        <v>40482.78</v>
      </c>
      <c r="G96" s="93">
        <f t="shared" si="8"/>
        <v>1437.72</v>
      </c>
      <c r="H96" s="92">
        <v>53083.69</v>
      </c>
      <c r="I96" s="140">
        <v>51263.11</v>
      </c>
      <c r="J96" s="95">
        <f t="shared" si="7"/>
        <v>1820.58</v>
      </c>
      <c r="K96" s="140"/>
      <c r="L96" s="140"/>
      <c r="M96" s="141"/>
      <c r="N96" s="122">
        <v>45834</v>
      </c>
      <c r="O96" s="90">
        <v>2448.5</v>
      </c>
      <c r="P96" s="91">
        <f t="shared" si="13"/>
        <v>48282.5</v>
      </c>
      <c r="Q96" s="123"/>
      <c r="R96" s="124"/>
      <c r="S96" s="125"/>
      <c r="T96" s="130">
        <v>102223</v>
      </c>
      <c r="U96" s="131">
        <v>10586.14</v>
      </c>
      <c r="V96" s="130">
        <f t="shared" si="16"/>
        <v>112809.14</v>
      </c>
      <c r="W96" s="130"/>
      <c r="X96" s="130"/>
      <c r="Y96" s="130"/>
      <c r="Z96" s="130"/>
      <c r="AA96" s="130"/>
      <c r="AB96" s="130"/>
      <c r="AC96" s="130">
        <f t="shared" si="46"/>
        <v>38164.879999999997</v>
      </c>
      <c r="AD96" s="130">
        <v>31533.27</v>
      </c>
      <c r="AE96" s="130">
        <v>6631.61</v>
      </c>
      <c r="AF96" s="130"/>
      <c r="AG96" s="130"/>
      <c r="AH96" s="130"/>
      <c r="AI96" s="88">
        <v>5</v>
      </c>
      <c r="AJ96" s="120"/>
      <c r="AK96" s="121"/>
      <c r="AL96" s="120"/>
    </row>
    <row r="97" spans="1:38" ht="11.4" customHeight="1">
      <c r="A97" s="88">
        <v>6</v>
      </c>
      <c r="B97" s="144"/>
      <c r="C97" s="140"/>
      <c r="D97" s="140"/>
      <c r="E97" s="92">
        <v>41920.5</v>
      </c>
      <c r="F97" s="140">
        <v>40718.93</v>
      </c>
      <c r="G97" s="93">
        <f t="shared" si="8"/>
        <v>1201.57</v>
      </c>
      <c r="H97" s="92">
        <v>53083.69</v>
      </c>
      <c r="I97" s="140">
        <v>51562.14</v>
      </c>
      <c r="J97" s="95">
        <f t="shared" si="7"/>
        <v>1521.55</v>
      </c>
      <c r="K97" s="140"/>
      <c r="L97" s="140"/>
      <c r="M97" s="141"/>
      <c r="N97" s="122">
        <v>45834</v>
      </c>
      <c r="O97" s="90">
        <v>2335.48</v>
      </c>
      <c r="P97" s="91">
        <f t="shared" si="13"/>
        <v>48169.48</v>
      </c>
      <c r="Q97" s="123"/>
      <c r="R97" s="124"/>
      <c r="S97" s="125"/>
      <c r="T97" s="130">
        <v>102223</v>
      </c>
      <c r="U97" s="131">
        <v>10331.27</v>
      </c>
      <c r="V97" s="130">
        <f t="shared" si="16"/>
        <v>112554.27</v>
      </c>
      <c r="W97" s="130"/>
      <c r="X97" s="130"/>
      <c r="Y97" s="130"/>
      <c r="Z97" s="130"/>
      <c r="AA97" s="130"/>
      <c r="AB97" s="130"/>
      <c r="AC97" s="130">
        <f t="shared" si="46"/>
        <v>38164.879999999997</v>
      </c>
      <c r="AD97" s="130">
        <v>31796.05</v>
      </c>
      <c r="AE97" s="130">
        <v>6368.83</v>
      </c>
      <c r="AF97" s="130"/>
      <c r="AG97" s="130"/>
      <c r="AH97" s="130"/>
      <c r="AI97" s="88">
        <v>6</v>
      </c>
      <c r="AJ97" s="120"/>
      <c r="AK97" s="121"/>
      <c r="AL97" s="120"/>
    </row>
    <row r="98" spans="1:38" ht="11.4" customHeight="1">
      <c r="A98" s="88"/>
      <c r="B98" s="144"/>
      <c r="C98" s="140"/>
      <c r="D98" s="140"/>
      <c r="E98" s="116">
        <f>SUM(E95:E97)</f>
        <v>125761.5</v>
      </c>
      <c r="F98" s="116">
        <f t="shared" ref="F98:AH98" si="57">SUM(F95:F97)</f>
        <v>121449.71</v>
      </c>
      <c r="G98" s="116">
        <f t="shared" si="57"/>
        <v>4311.79</v>
      </c>
      <c r="H98" s="116">
        <f t="shared" si="57"/>
        <v>159251.07</v>
      </c>
      <c r="I98" s="116">
        <f t="shared" si="57"/>
        <v>153791.06</v>
      </c>
      <c r="J98" s="116">
        <f t="shared" si="57"/>
        <v>5460.01</v>
      </c>
      <c r="K98" s="116">
        <f t="shared" si="57"/>
        <v>0</v>
      </c>
      <c r="L98" s="116">
        <f t="shared" si="57"/>
        <v>0</v>
      </c>
      <c r="M98" s="116">
        <f t="shared" si="57"/>
        <v>0</v>
      </c>
      <c r="N98" s="116">
        <f t="shared" si="57"/>
        <v>137502</v>
      </c>
      <c r="O98" s="116">
        <f t="shared" si="57"/>
        <v>7508.74</v>
      </c>
      <c r="P98" s="116">
        <f t="shared" si="57"/>
        <v>145010.74</v>
      </c>
      <c r="Q98" s="116">
        <f t="shared" si="57"/>
        <v>0</v>
      </c>
      <c r="R98" s="116">
        <f t="shared" si="57"/>
        <v>0</v>
      </c>
      <c r="S98" s="116">
        <f t="shared" si="57"/>
        <v>0</v>
      </c>
      <c r="T98" s="116">
        <f t="shared" si="57"/>
        <v>306669</v>
      </c>
      <c r="U98" s="116">
        <f t="shared" si="57"/>
        <v>32464.16</v>
      </c>
      <c r="V98" s="116">
        <f t="shared" si="57"/>
        <v>339133.16</v>
      </c>
      <c r="W98" s="116">
        <f t="shared" si="57"/>
        <v>0</v>
      </c>
      <c r="X98" s="116">
        <f t="shared" si="57"/>
        <v>0</v>
      </c>
      <c r="Y98" s="116">
        <f t="shared" si="57"/>
        <v>0</v>
      </c>
      <c r="Z98" s="116">
        <f t="shared" si="57"/>
        <v>0</v>
      </c>
      <c r="AA98" s="116">
        <f t="shared" si="57"/>
        <v>0</v>
      </c>
      <c r="AB98" s="116">
        <f t="shared" si="57"/>
        <v>0</v>
      </c>
      <c r="AC98" s="116">
        <f t="shared" si="57"/>
        <v>114494.64</v>
      </c>
      <c r="AD98" s="116">
        <f t="shared" si="57"/>
        <v>94601.99</v>
      </c>
      <c r="AE98" s="116">
        <f t="shared" si="57"/>
        <v>19892.650000000001</v>
      </c>
      <c r="AF98" s="116">
        <f t="shared" si="57"/>
        <v>0</v>
      </c>
      <c r="AG98" s="116">
        <f t="shared" si="57"/>
        <v>0</v>
      </c>
      <c r="AH98" s="116">
        <f t="shared" si="57"/>
        <v>0</v>
      </c>
      <c r="AI98" s="88"/>
      <c r="AJ98" s="120">
        <f t="shared" si="50"/>
        <v>814013.76</v>
      </c>
      <c r="AK98" s="121">
        <f t="shared" si="50"/>
        <v>69637.350000000006</v>
      </c>
      <c r="AL98" s="120">
        <f t="shared" si="51"/>
        <v>883651.11</v>
      </c>
    </row>
    <row r="99" spans="1:38" ht="11.4" customHeight="1">
      <c r="A99" s="88">
        <v>7</v>
      </c>
      <c r="B99" s="144"/>
      <c r="C99" s="140"/>
      <c r="D99" s="140"/>
      <c r="E99" s="92">
        <v>41920.5</v>
      </c>
      <c r="F99" s="140">
        <v>40956.46</v>
      </c>
      <c r="G99" s="93">
        <f t="shared" si="8"/>
        <v>964.04</v>
      </c>
      <c r="H99" s="92">
        <v>53083.69</v>
      </c>
      <c r="I99" s="140">
        <v>51862.92</v>
      </c>
      <c r="J99" s="95">
        <f t="shared" si="7"/>
        <v>1220.77</v>
      </c>
      <c r="K99" s="140"/>
      <c r="L99" s="140"/>
      <c r="M99" s="141"/>
      <c r="N99" s="122">
        <v>45834</v>
      </c>
      <c r="O99" s="90">
        <v>2071.7800000000002</v>
      </c>
      <c r="P99" s="91">
        <f t="shared" si="13"/>
        <v>47905.78</v>
      </c>
      <c r="Q99" s="123"/>
      <c r="R99" s="124"/>
      <c r="S99" s="125"/>
      <c r="T99" s="130">
        <v>102223</v>
      </c>
      <c r="U99" s="131">
        <v>9409.8799999999992</v>
      </c>
      <c r="V99" s="130">
        <f t="shared" si="16"/>
        <v>111632.88</v>
      </c>
      <c r="W99" s="130"/>
      <c r="X99" s="130"/>
      <c r="Y99" s="130"/>
      <c r="Z99" s="130"/>
      <c r="AA99" s="130"/>
      <c r="AB99" s="130"/>
      <c r="AC99" s="130">
        <f t="shared" si="46"/>
        <v>38164.879999999997</v>
      </c>
      <c r="AD99" s="130">
        <v>32061.02</v>
      </c>
      <c r="AE99" s="130">
        <v>6103.86</v>
      </c>
      <c r="AF99" s="130"/>
      <c r="AG99" s="130"/>
      <c r="AH99" s="130"/>
      <c r="AI99" s="88">
        <v>7</v>
      </c>
      <c r="AJ99" s="120"/>
      <c r="AK99" s="121"/>
      <c r="AL99" s="120"/>
    </row>
    <row r="100" spans="1:38" ht="11.4" customHeight="1">
      <c r="A100" s="88">
        <v>8</v>
      </c>
      <c r="B100" s="144"/>
      <c r="C100" s="140"/>
      <c r="D100" s="140"/>
      <c r="E100" s="92">
        <v>41920.5</v>
      </c>
      <c r="F100" s="140">
        <v>41195.370000000003</v>
      </c>
      <c r="G100" s="93">
        <f t="shared" si="8"/>
        <v>725.13</v>
      </c>
      <c r="H100" s="92">
        <v>53083.69</v>
      </c>
      <c r="I100" s="140">
        <v>52165.46</v>
      </c>
      <c r="J100" s="95">
        <f t="shared" si="7"/>
        <v>918.23</v>
      </c>
      <c r="K100" s="140"/>
      <c r="L100" s="140"/>
      <c r="M100" s="141"/>
      <c r="N100" s="122">
        <v>45834</v>
      </c>
      <c r="O100" s="90">
        <v>1946.21</v>
      </c>
      <c r="P100" s="91">
        <f t="shared" si="13"/>
        <v>47780.21</v>
      </c>
      <c r="Q100" s="123"/>
      <c r="R100" s="124"/>
      <c r="S100" s="125"/>
      <c r="T100" s="130">
        <v>102223</v>
      </c>
      <c r="U100" s="131">
        <v>9115.7999999999993</v>
      </c>
      <c r="V100" s="130">
        <f t="shared" si="16"/>
        <v>111338.8</v>
      </c>
      <c r="W100" s="130"/>
      <c r="X100" s="130"/>
      <c r="Y100" s="130"/>
      <c r="Z100" s="130"/>
      <c r="AA100" s="130"/>
      <c r="AB100" s="130"/>
      <c r="AC100" s="130">
        <f t="shared" si="46"/>
        <v>38164.879999999997</v>
      </c>
      <c r="AD100" s="130">
        <v>32328.19</v>
      </c>
      <c r="AE100" s="130">
        <v>5836.69</v>
      </c>
      <c r="AF100" s="130"/>
      <c r="AG100" s="130"/>
      <c r="AH100" s="130"/>
      <c r="AI100" s="88">
        <v>8</v>
      </c>
      <c r="AJ100" s="120"/>
      <c r="AK100" s="121"/>
      <c r="AL100" s="120"/>
    </row>
    <row r="101" spans="1:38" ht="11.4" customHeight="1">
      <c r="A101" s="88">
        <v>9</v>
      </c>
      <c r="B101" s="144"/>
      <c r="C101" s="140"/>
      <c r="D101" s="140"/>
      <c r="E101" s="92">
        <v>41920.5</v>
      </c>
      <c r="F101" s="140">
        <v>41435.68</v>
      </c>
      <c r="G101" s="93">
        <f t="shared" si="8"/>
        <v>484.82</v>
      </c>
      <c r="H101" s="92">
        <v>53083.69</v>
      </c>
      <c r="I101" s="140">
        <v>52469.75</v>
      </c>
      <c r="J101" s="95">
        <f t="shared" si="7"/>
        <v>613.94000000000005</v>
      </c>
      <c r="K101" s="140"/>
      <c r="L101" s="140"/>
      <c r="M101" s="141"/>
      <c r="N101" s="122">
        <v>45834</v>
      </c>
      <c r="O101" s="90">
        <v>1751.57</v>
      </c>
      <c r="P101" s="91">
        <f t="shared" si="13"/>
        <v>47585.57</v>
      </c>
      <c r="Q101" s="123"/>
      <c r="R101" s="124"/>
      <c r="S101" s="125"/>
      <c r="T101" s="130">
        <v>102223</v>
      </c>
      <c r="U101" s="131">
        <v>8508.06</v>
      </c>
      <c r="V101" s="130">
        <f t="shared" si="16"/>
        <v>110731.06</v>
      </c>
      <c r="W101" s="130"/>
      <c r="X101" s="130"/>
      <c r="Y101" s="130"/>
      <c r="Z101" s="130"/>
      <c r="AA101" s="130"/>
      <c r="AB101" s="130"/>
      <c r="AC101" s="130">
        <f t="shared" si="46"/>
        <v>38164.879999999997</v>
      </c>
      <c r="AD101" s="130">
        <v>32597.599999999999</v>
      </c>
      <c r="AE101" s="130">
        <v>5567.28</v>
      </c>
      <c r="AF101" s="130"/>
      <c r="AG101" s="130"/>
      <c r="AH101" s="130"/>
      <c r="AI101" s="88">
        <v>9</v>
      </c>
      <c r="AJ101" s="120"/>
      <c r="AK101" s="121"/>
      <c r="AL101" s="120"/>
    </row>
    <row r="102" spans="1:38" ht="11.4" customHeight="1">
      <c r="A102" s="88"/>
      <c r="B102" s="144"/>
      <c r="C102" s="140"/>
      <c r="D102" s="140"/>
      <c r="E102" s="116">
        <f>SUM(E99:E101)</f>
        <v>125761.5</v>
      </c>
      <c r="F102" s="116">
        <f t="shared" ref="F102:AH102" si="58">SUM(F99:F101)</f>
        <v>123587.51</v>
      </c>
      <c r="G102" s="116">
        <f t="shared" si="58"/>
        <v>2173.9899999999998</v>
      </c>
      <c r="H102" s="116">
        <f t="shared" si="58"/>
        <v>159251.07</v>
      </c>
      <c r="I102" s="116">
        <f t="shared" si="58"/>
        <v>156498.13</v>
      </c>
      <c r="J102" s="116">
        <f t="shared" si="58"/>
        <v>2752.94</v>
      </c>
      <c r="K102" s="116">
        <f t="shared" si="58"/>
        <v>0</v>
      </c>
      <c r="L102" s="116">
        <f t="shared" si="58"/>
        <v>0</v>
      </c>
      <c r="M102" s="116">
        <f t="shared" si="58"/>
        <v>0</v>
      </c>
      <c r="N102" s="116">
        <f t="shared" si="58"/>
        <v>137502</v>
      </c>
      <c r="O102" s="116">
        <f t="shared" si="58"/>
        <v>5769.56</v>
      </c>
      <c r="P102" s="116">
        <f t="shared" si="58"/>
        <v>143271.56</v>
      </c>
      <c r="Q102" s="116">
        <f t="shared" si="58"/>
        <v>0</v>
      </c>
      <c r="R102" s="116">
        <f t="shared" si="58"/>
        <v>0</v>
      </c>
      <c r="S102" s="116">
        <f t="shared" si="58"/>
        <v>0</v>
      </c>
      <c r="T102" s="116">
        <f t="shared" si="58"/>
        <v>306669</v>
      </c>
      <c r="U102" s="116">
        <f t="shared" si="58"/>
        <v>27033.74</v>
      </c>
      <c r="V102" s="116">
        <f t="shared" si="58"/>
        <v>333702.74</v>
      </c>
      <c r="W102" s="116">
        <f t="shared" si="58"/>
        <v>0</v>
      </c>
      <c r="X102" s="116">
        <f t="shared" si="58"/>
        <v>0</v>
      </c>
      <c r="Y102" s="116">
        <f t="shared" si="58"/>
        <v>0</v>
      </c>
      <c r="Z102" s="116">
        <f t="shared" si="58"/>
        <v>0</v>
      </c>
      <c r="AA102" s="116">
        <f t="shared" si="58"/>
        <v>0</v>
      </c>
      <c r="AB102" s="116">
        <f t="shared" si="58"/>
        <v>0</v>
      </c>
      <c r="AC102" s="116">
        <f t="shared" si="58"/>
        <v>114494.64</v>
      </c>
      <c r="AD102" s="116">
        <f t="shared" si="58"/>
        <v>96986.81</v>
      </c>
      <c r="AE102" s="116">
        <f t="shared" si="58"/>
        <v>17507.830000000002</v>
      </c>
      <c r="AF102" s="116">
        <f t="shared" si="58"/>
        <v>0</v>
      </c>
      <c r="AG102" s="116">
        <f t="shared" si="58"/>
        <v>0</v>
      </c>
      <c r="AH102" s="116">
        <f t="shared" si="58"/>
        <v>0</v>
      </c>
      <c r="AI102" s="88"/>
      <c r="AJ102" s="120">
        <f t="shared" si="50"/>
        <v>821243.45</v>
      </c>
      <c r="AK102" s="121">
        <f t="shared" si="50"/>
        <v>55238.06</v>
      </c>
      <c r="AL102" s="120">
        <f t="shared" si="51"/>
        <v>876481.51</v>
      </c>
    </row>
    <row r="103" spans="1:38" ht="11.4" customHeight="1">
      <c r="A103" s="88">
        <v>10</v>
      </c>
      <c r="B103" s="144"/>
      <c r="C103" s="140"/>
      <c r="D103" s="140"/>
      <c r="E103" s="92">
        <v>41920.5</v>
      </c>
      <c r="F103" s="140">
        <v>41677.379999999997</v>
      </c>
      <c r="G103" s="93">
        <f t="shared" si="8"/>
        <v>243.12</v>
      </c>
      <c r="H103" s="92">
        <v>53083.69</v>
      </c>
      <c r="I103" s="140">
        <v>52775.83</v>
      </c>
      <c r="J103" s="95">
        <f t="shared" si="7"/>
        <v>307.86</v>
      </c>
      <c r="K103" s="140"/>
      <c r="L103" s="140"/>
      <c r="M103" s="141"/>
      <c r="N103" s="122">
        <v>45834</v>
      </c>
      <c r="O103" s="90">
        <v>1506.71</v>
      </c>
      <c r="P103" s="91">
        <f t="shared" si="13"/>
        <v>47340.71</v>
      </c>
      <c r="Q103" s="123"/>
      <c r="R103" s="124"/>
      <c r="S103" s="125"/>
      <c r="T103" s="130">
        <v>102223</v>
      </c>
      <c r="U103" s="131">
        <v>7645.48</v>
      </c>
      <c r="V103" s="130">
        <f t="shared" si="16"/>
        <v>109868.48</v>
      </c>
      <c r="W103" s="130"/>
      <c r="X103" s="130"/>
      <c r="Y103" s="130"/>
      <c r="Z103" s="130"/>
      <c r="AA103" s="130"/>
      <c r="AB103" s="130"/>
      <c r="AC103" s="130">
        <f t="shared" si="46"/>
        <v>38164.879999999997</v>
      </c>
      <c r="AD103" s="130">
        <v>32869.24</v>
      </c>
      <c r="AE103" s="130">
        <v>5295.64</v>
      </c>
      <c r="AF103" s="130"/>
      <c r="AG103" s="130"/>
      <c r="AH103" s="130"/>
      <c r="AI103" s="88">
        <v>10</v>
      </c>
      <c r="AJ103" s="120"/>
      <c r="AK103" s="121"/>
      <c r="AL103" s="120"/>
    </row>
    <row r="104" spans="1:38" ht="11.4" customHeight="1">
      <c r="A104" s="88">
        <v>11</v>
      </c>
      <c r="B104" s="144"/>
      <c r="C104" s="140"/>
      <c r="D104" s="140"/>
      <c r="E104" s="92">
        <v>0</v>
      </c>
      <c r="F104" s="92">
        <v>0</v>
      </c>
      <c r="G104" s="93">
        <f t="shared" si="8"/>
        <v>0</v>
      </c>
      <c r="H104" s="92">
        <v>0</v>
      </c>
      <c r="I104" s="92">
        <v>0</v>
      </c>
      <c r="J104" s="95">
        <f>H104-I104</f>
        <v>0</v>
      </c>
      <c r="K104" s="140"/>
      <c r="L104" s="140"/>
      <c r="M104" s="141"/>
      <c r="N104" s="122">
        <v>45834</v>
      </c>
      <c r="O104" s="90">
        <v>1362.29</v>
      </c>
      <c r="P104" s="91">
        <f t="shared" si="13"/>
        <v>47196.29</v>
      </c>
      <c r="Q104" s="123"/>
      <c r="R104" s="124"/>
      <c r="S104" s="125"/>
      <c r="T104" s="130">
        <v>102223</v>
      </c>
      <c r="U104" s="131">
        <v>7292.59</v>
      </c>
      <c r="V104" s="130">
        <f t="shared" si="16"/>
        <v>109515.59</v>
      </c>
      <c r="W104" s="130"/>
      <c r="X104" s="130"/>
      <c r="Y104" s="130"/>
      <c r="Z104" s="130"/>
      <c r="AA104" s="130"/>
      <c r="AB104" s="130"/>
      <c r="AC104" s="130">
        <f t="shared" si="46"/>
        <v>38164.879999999997</v>
      </c>
      <c r="AD104" s="130">
        <v>33143.15</v>
      </c>
      <c r="AE104" s="130">
        <v>5021.7299999999996</v>
      </c>
      <c r="AF104" s="130"/>
      <c r="AG104" s="130"/>
      <c r="AH104" s="130"/>
      <c r="AI104" s="88">
        <v>11</v>
      </c>
      <c r="AJ104" s="120"/>
      <c r="AK104" s="121"/>
      <c r="AL104" s="120"/>
    </row>
    <row r="105" spans="1:38" ht="11.4" customHeight="1">
      <c r="A105" s="88">
        <v>12</v>
      </c>
      <c r="B105" s="144"/>
      <c r="C105" s="140"/>
      <c r="D105" s="140"/>
      <c r="E105" s="92">
        <v>0</v>
      </c>
      <c r="F105" s="92">
        <v>0</v>
      </c>
      <c r="G105" s="93">
        <f t="shared" si="8"/>
        <v>0</v>
      </c>
      <c r="H105" s="92">
        <v>0</v>
      </c>
      <c r="I105" s="92">
        <v>0</v>
      </c>
      <c r="J105" s="95">
        <f>H105-I105</f>
        <v>0</v>
      </c>
      <c r="K105" s="140"/>
      <c r="L105" s="140"/>
      <c r="M105" s="141"/>
      <c r="N105" s="122">
        <v>45834</v>
      </c>
      <c r="O105" s="90">
        <v>1129.99</v>
      </c>
      <c r="P105" s="91">
        <f t="shared" si="13"/>
        <v>46963.99</v>
      </c>
      <c r="Q105" s="123"/>
      <c r="R105" s="124"/>
      <c r="S105" s="125"/>
      <c r="T105" s="130">
        <v>102223</v>
      </c>
      <c r="U105" s="131">
        <v>6469.21</v>
      </c>
      <c r="V105" s="130">
        <f t="shared" si="16"/>
        <v>108692.21</v>
      </c>
      <c r="W105" s="130"/>
      <c r="X105" s="130"/>
      <c r="Y105" s="130"/>
      <c r="Z105" s="130"/>
      <c r="AA105" s="130"/>
      <c r="AB105" s="130"/>
      <c r="AC105" s="130">
        <f t="shared" si="46"/>
        <v>38164.879999999997</v>
      </c>
      <c r="AD105" s="130">
        <v>33419.35</v>
      </c>
      <c r="AE105" s="130">
        <v>4745.53</v>
      </c>
      <c r="AF105" s="130"/>
      <c r="AG105" s="130"/>
      <c r="AH105" s="130"/>
      <c r="AI105" s="88">
        <v>12</v>
      </c>
      <c r="AJ105" s="120"/>
      <c r="AK105" s="121"/>
      <c r="AL105" s="120"/>
    </row>
    <row r="106" spans="1:38" ht="11.4" customHeight="1">
      <c r="A106" s="88"/>
      <c r="B106" s="144"/>
      <c r="C106" s="140"/>
      <c r="D106" s="140"/>
      <c r="E106" s="116">
        <f>SUM(E103:E105)</f>
        <v>41920.5</v>
      </c>
      <c r="F106" s="116">
        <f t="shared" ref="F106:AH106" si="59">SUM(F103:F105)</f>
        <v>41677.379999999997</v>
      </c>
      <c r="G106" s="116">
        <f t="shared" si="59"/>
        <v>243.12</v>
      </c>
      <c r="H106" s="116">
        <f t="shared" si="59"/>
        <v>53083.69</v>
      </c>
      <c r="I106" s="116">
        <f t="shared" si="59"/>
        <v>52775.83</v>
      </c>
      <c r="J106" s="116">
        <f t="shared" si="59"/>
        <v>307.86</v>
      </c>
      <c r="K106" s="116">
        <f t="shared" si="59"/>
        <v>0</v>
      </c>
      <c r="L106" s="116">
        <f t="shared" si="59"/>
        <v>0</v>
      </c>
      <c r="M106" s="116">
        <f t="shared" si="59"/>
        <v>0</v>
      </c>
      <c r="N106" s="116">
        <f t="shared" si="59"/>
        <v>137502</v>
      </c>
      <c r="O106" s="116">
        <f t="shared" si="59"/>
        <v>3998.99</v>
      </c>
      <c r="P106" s="116">
        <f t="shared" si="59"/>
        <v>141500.99</v>
      </c>
      <c r="Q106" s="116">
        <f t="shared" si="59"/>
        <v>0</v>
      </c>
      <c r="R106" s="116">
        <f t="shared" si="59"/>
        <v>0</v>
      </c>
      <c r="S106" s="116">
        <f t="shared" si="59"/>
        <v>0</v>
      </c>
      <c r="T106" s="116">
        <f t="shared" si="59"/>
        <v>306669</v>
      </c>
      <c r="U106" s="116">
        <f t="shared" si="59"/>
        <v>21407.279999999999</v>
      </c>
      <c r="V106" s="116">
        <f t="shared" si="59"/>
        <v>328076.28000000003</v>
      </c>
      <c r="W106" s="116">
        <f t="shared" si="59"/>
        <v>0</v>
      </c>
      <c r="X106" s="116">
        <f t="shared" si="59"/>
        <v>0</v>
      </c>
      <c r="Y106" s="116">
        <f t="shared" si="59"/>
        <v>0</v>
      </c>
      <c r="Z106" s="116">
        <f t="shared" si="59"/>
        <v>0</v>
      </c>
      <c r="AA106" s="116">
        <f t="shared" si="59"/>
        <v>0</v>
      </c>
      <c r="AB106" s="116">
        <f t="shared" si="59"/>
        <v>0</v>
      </c>
      <c r="AC106" s="116">
        <f t="shared" si="59"/>
        <v>114494.64</v>
      </c>
      <c r="AD106" s="116">
        <f t="shared" si="59"/>
        <v>99431.74</v>
      </c>
      <c r="AE106" s="116">
        <f t="shared" si="59"/>
        <v>15062.9</v>
      </c>
      <c r="AF106" s="116">
        <f t="shared" si="59"/>
        <v>0</v>
      </c>
      <c r="AG106" s="116">
        <f t="shared" si="59"/>
        <v>0</v>
      </c>
      <c r="AH106" s="116">
        <f t="shared" si="59"/>
        <v>0</v>
      </c>
      <c r="AI106" s="88"/>
      <c r="AJ106" s="120">
        <f t="shared" si="50"/>
        <v>638055.94999999995</v>
      </c>
      <c r="AK106" s="121">
        <f t="shared" si="50"/>
        <v>41020.15</v>
      </c>
      <c r="AL106" s="120">
        <f t="shared" si="51"/>
        <v>679076.1</v>
      </c>
    </row>
    <row r="107" spans="1:38" ht="11.4" customHeight="1">
      <c r="A107" s="135" t="s">
        <v>480</v>
      </c>
      <c r="B107" s="144"/>
      <c r="C107" s="140"/>
      <c r="D107" s="140"/>
      <c r="E107" s="110">
        <f>E94+E98+E102+E106</f>
        <v>419205</v>
      </c>
      <c r="F107" s="110">
        <f t="shared" ref="F107:AH107" si="60">F94+F98+F102+F106</f>
        <v>406063.5</v>
      </c>
      <c r="G107" s="110">
        <f t="shared" si="60"/>
        <v>13141.5</v>
      </c>
      <c r="H107" s="110">
        <f t="shared" si="60"/>
        <v>530836.9</v>
      </c>
      <c r="I107" s="110">
        <f t="shared" si="60"/>
        <v>514195.83</v>
      </c>
      <c r="J107" s="110">
        <f t="shared" si="60"/>
        <v>16641.07</v>
      </c>
      <c r="K107" s="110">
        <f t="shared" si="60"/>
        <v>0</v>
      </c>
      <c r="L107" s="110">
        <f t="shared" si="60"/>
        <v>0</v>
      </c>
      <c r="M107" s="110">
        <f t="shared" si="60"/>
        <v>0</v>
      </c>
      <c r="N107" s="110">
        <f>N94+N98+N102+N106</f>
        <v>550008</v>
      </c>
      <c r="O107" s="110">
        <f t="shared" si="60"/>
        <v>26336.86</v>
      </c>
      <c r="P107" s="110">
        <f t="shared" si="60"/>
        <v>576344.86</v>
      </c>
      <c r="Q107" s="110">
        <f t="shared" si="60"/>
        <v>0</v>
      </c>
      <c r="R107" s="110">
        <f t="shared" si="60"/>
        <v>0</v>
      </c>
      <c r="S107" s="110">
        <f t="shared" si="60"/>
        <v>0</v>
      </c>
      <c r="T107" s="110">
        <f t="shared" si="60"/>
        <v>1226676</v>
      </c>
      <c r="U107" s="110">
        <f t="shared" si="60"/>
        <v>118015.6</v>
      </c>
      <c r="V107" s="110">
        <f t="shared" si="60"/>
        <v>1344691.6</v>
      </c>
      <c r="W107" s="110">
        <f t="shared" si="60"/>
        <v>0</v>
      </c>
      <c r="X107" s="110">
        <f t="shared" si="60"/>
        <v>0</v>
      </c>
      <c r="Y107" s="110">
        <f t="shared" si="60"/>
        <v>0</v>
      </c>
      <c r="Z107" s="110">
        <f t="shared" si="60"/>
        <v>0</v>
      </c>
      <c r="AA107" s="110">
        <f t="shared" si="60"/>
        <v>0</v>
      </c>
      <c r="AB107" s="110">
        <f t="shared" si="60"/>
        <v>0</v>
      </c>
      <c r="AC107" s="110">
        <f t="shared" si="60"/>
        <v>457978.56</v>
      </c>
      <c r="AD107" s="110">
        <f t="shared" si="60"/>
        <v>383296.36</v>
      </c>
      <c r="AE107" s="110">
        <f t="shared" si="60"/>
        <v>74682.2</v>
      </c>
      <c r="AF107" s="110">
        <f t="shared" si="60"/>
        <v>0</v>
      </c>
      <c r="AG107" s="110">
        <f t="shared" si="60"/>
        <v>0</v>
      </c>
      <c r="AH107" s="110">
        <f t="shared" si="60"/>
        <v>0</v>
      </c>
      <c r="AI107" s="135" t="s">
        <v>480</v>
      </c>
      <c r="AJ107" s="120">
        <f t="shared" si="50"/>
        <v>3080239.69</v>
      </c>
      <c r="AK107" s="121">
        <f>C107+G107+J107+L107+O107+R107+U107+X107+AA107+AE107</f>
        <v>248817.23</v>
      </c>
      <c r="AL107" s="120">
        <f t="shared" si="51"/>
        <v>3329056.92</v>
      </c>
    </row>
    <row r="108" spans="1:38" ht="11.4" customHeight="1">
      <c r="A108" s="88" t="s">
        <v>481</v>
      </c>
      <c r="B108" s="144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1"/>
      <c r="N108" s="122">
        <v>45834</v>
      </c>
      <c r="O108" s="90">
        <v>973.02</v>
      </c>
      <c r="P108" s="91">
        <f t="shared" si="13"/>
        <v>46807.02</v>
      </c>
      <c r="Q108" s="123"/>
      <c r="R108" s="124"/>
      <c r="S108" s="125"/>
      <c r="T108" s="130">
        <v>102223</v>
      </c>
      <c r="U108" s="131">
        <v>6077.12</v>
      </c>
      <c r="V108" s="130">
        <f t="shared" si="16"/>
        <v>108300.12</v>
      </c>
      <c r="W108" s="130"/>
      <c r="X108" s="130"/>
      <c r="Y108" s="130"/>
      <c r="Z108" s="130"/>
      <c r="AA108" s="130"/>
      <c r="AB108" s="130"/>
      <c r="AC108" s="130">
        <f t="shared" si="46"/>
        <v>38164.879999999997</v>
      </c>
      <c r="AD108" s="130">
        <v>33697.839999999997</v>
      </c>
      <c r="AE108" s="130">
        <v>4467.04</v>
      </c>
      <c r="AF108" s="130"/>
      <c r="AG108" s="130"/>
      <c r="AH108" s="130"/>
      <c r="AI108" s="88" t="s">
        <v>481</v>
      </c>
      <c r="AJ108" s="120">
        <f>AJ94+AJ98+AJ102+AJ106</f>
        <v>3080239.69</v>
      </c>
      <c r="AK108" s="120">
        <f t="shared" ref="AK108:AL108" si="61">AK94+AK98+AK102+AK106</f>
        <v>248817.23</v>
      </c>
      <c r="AL108" s="120">
        <f t="shared" si="61"/>
        <v>3329056.92</v>
      </c>
    </row>
    <row r="109" spans="1:38" ht="11.4" customHeight="1">
      <c r="A109" s="88">
        <v>2</v>
      </c>
      <c r="B109" s="144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1"/>
      <c r="N109" s="122">
        <v>45834</v>
      </c>
      <c r="O109" s="145">
        <v>778.38</v>
      </c>
      <c r="P109" s="91">
        <f t="shared" si="13"/>
        <v>46612.38</v>
      </c>
      <c r="Q109" s="123"/>
      <c r="R109" s="124"/>
      <c r="S109" s="125"/>
      <c r="T109" s="130">
        <v>102223</v>
      </c>
      <c r="U109" s="131">
        <v>5469.38</v>
      </c>
      <c r="V109" s="130">
        <f t="shared" si="16"/>
        <v>107692.38</v>
      </c>
      <c r="W109" s="130"/>
      <c r="X109" s="130"/>
      <c r="Y109" s="130"/>
      <c r="Z109" s="130"/>
      <c r="AA109" s="130"/>
      <c r="AB109" s="130"/>
      <c r="AC109" s="130">
        <f t="shared" si="46"/>
        <v>38164.879999999997</v>
      </c>
      <c r="AD109" s="130">
        <v>33978.660000000003</v>
      </c>
      <c r="AE109" s="130">
        <v>4186.22</v>
      </c>
      <c r="AF109" s="130"/>
      <c r="AG109" s="130"/>
      <c r="AH109" s="130"/>
      <c r="AI109" s="88">
        <v>2</v>
      </c>
      <c r="AJ109" s="120"/>
      <c r="AK109" s="120"/>
      <c r="AL109" s="120"/>
    </row>
    <row r="110" spans="1:38" ht="11.4" customHeight="1">
      <c r="A110" s="88">
        <v>3</v>
      </c>
      <c r="B110" s="144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1"/>
      <c r="N110" s="122">
        <v>45834</v>
      </c>
      <c r="O110" s="145">
        <v>546.08000000000004</v>
      </c>
      <c r="P110" s="91">
        <f t="shared" si="13"/>
        <v>46380.08</v>
      </c>
      <c r="Q110" s="123"/>
      <c r="R110" s="124"/>
      <c r="S110" s="125"/>
      <c r="T110" s="130">
        <v>102223</v>
      </c>
      <c r="U110" s="131">
        <v>4547.99</v>
      </c>
      <c r="V110" s="130">
        <f t="shared" si="16"/>
        <v>106770.99</v>
      </c>
      <c r="W110" s="130"/>
      <c r="X110" s="130"/>
      <c r="Y110" s="130"/>
      <c r="Z110" s="130"/>
      <c r="AA110" s="130"/>
      <c r="AB110" s="130"/>
      <c r="AC110" s="130">
        <f t="shared" si="46"/>
        <v>38164.879999999997</v>
      </c>
      <c r="AD110" s="130">
        <v>34261.81</v>
      </c>
      <c r="AE110" s="130">
        <v>3903.07</v>
      </c>
      <c r="AF110" s="130"/>
      <c r="AG110" s="130"/>
      <c r="AH110" s="130"/>
      <c r="AI110" s="88">
        <v>3</v>
      </c>
      <c r="AJ110" s="120"/>
      <c r="AK110" s="120"/>
      <c r="AL110" s="120"/>
    </row>
    <row r="111" spans="1:38" ht="11.4" customHeight="1">
      <c r="A111" s="88"/>
      <c r="B111" s="144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1"/>
      <c r="N111" s="194">
        <f>SUM(N108:N110)</f>
        <v>137502</v>
      </c>
      <c r="O111" s="194">
        <f t="shared" ref="O111:AE111" si="62">SUM(O108:O110)</f>
        <v>2297.48</v>
      </c>
      <c r="P111" s="194">
        <f t="shared" si="62"/>
        <v>139799.48000000001</v>
      </c>
      <c r="Q111" s="194">
        <f t="shared" si="62"/>
        <v>0</v>
      </c>
      <c r="R111" s="194">
        <f t="shared" si="62"/>
        <v>0</v>
      </c>
      <c r="S111" s="194">
        <f t="shared" si="62"/>
        <v>0</v>
      </c>
      <c r="T111" s="194">
        <f t="shared" si="62"/>
        <v>306669</v>
      </c>
      <c r="U111" s="194">
        <f t="shared" si="62"/>
        <v>16094.49</v>
      </c>
      <c r="V111" s="194">
        <f t="shared" si="62"/>
        <v>322763.49</v>
      </c>
      <c r="W111" s="194">
        <f t="shared" si="62"/>
        <v>0</v>
      </c>
      <c r="X111" s="194">
        <f t="shared" si="62"/>
        <v>0</v>
      </c>
      <c r="Y111" s="194">
        <f t="shared" si="62"/>
        <v>0</v>
      </c>
      <c r="Z111" s="194">
        <f t="shared" si="62"/>
        <v>0</v>
      </c>
      <c r="AA111" s="194">
        <f t="shared" si="62"/>
        <v>0</v>
      </c>
      <c r="AB111" s="194">
        <f t="shared" si="62"/>
        <v>0</v>
      </c>
      <c r="AC111" s="194">
        <f t="shared" si="62"/>
        <v>114494.64</v>
      </c>
      <c r="AD111" s="194">
        <f t="shared" si="62"/>
        <v>101938.31</v>
      </c>
      <c r="AE111" s="194">
        <f t="shared" si="62"/>
        <v>12556.33</v>
      </c>
      <c r="AF111" s="228"/>
      <c r="AG111" s="228"/>
      <c r="AH111" s="228"/>
      <c r="AI111" s="88"/>
      <c r="AJ111" s="120">
        <f t="shared" si="50"/>
        <v>546109.31000000006</v>
      </c>
      <c r="AK111" s="121">
        <f t="shared" si="50"/>
        <v>30948.3</v>
      </c>
      <c r="AL111" s="120">
        <f t="shared" si="51"/>
        <v>577057.61</v>
      </c>
    </row>
    <row r="112" spans="1:38" ht="11.4" customHeight="1">
      <c r="A112" s="88">
        <v>4</v>
      </c>
      <c r="B112" s="144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1"/>
      <c r="N112" s="122">
        <v>45834</v>
      </c>
      <c r="O112" s="145">
        <v>389.11</v>
      </c>
      <c r="P112" s="91">
        <f t="shared" si="13"/>
        <v>46223.11</v>
      </c>
      <c r="Q112" s="123"/>
      <c r="R112" s="124"/>
      <c r="S112" s="125"/>
      <c r="T112" s="130">
        <v>102223</v>
      </c>
      <c r="U112" s="131">
        <v>4253.91</v>
      </c>
      <c r="V112" s="130">
        <f t="shared" si="16"/>
        <v>106476.91</v>
      </c>
      <c r="W112" s="130"/>
      <c r="X112" s="130"/>
      <c r="Y112" s="130"/>
      <c r="Z112" s="130"/>
      <c r="AA112" s="130"/>
      <c r="AB112" s="130"/>
      <c r="AC112" s="130">
        <f t="shared" si="46"/>
        <v>38164.879999999997</v>
      </c>
      <c r="AD112" s="130">
        <v>34547.33</v>
      </c>
      <c r="AE112" s="130">
        <v>3617.55</v>
      </c>
      <c r="AF112" s="130"/>
      <c r="AG112" s="130"/>
      <c r="AH112" s="130"/>
      <c r="AI112" s="88">
        <v>4</v>
      </c>
      <c r="AJ112" s="120"/>
      <c r="AK112" s="121"/>
      <c r="AL112" s="120"/>
    </row>
    <row r="113" spans="1:38" ht="11.4" customHeight="1">
      <c r="A113" s="88">
        <v>5</v>
      </c>
      <c r="B113" s="144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1"/>
      <c r="N113" s="122">
        <v>45794</v>
      </c>
      <c r="O113" s="145">
        <v>181.92</v>
      </c>
      <c r="P113" s="91">
        <f t="shared" si="13"/>
        <v>45975.92</v>
      </c>
      <c r="Q113" s="123"/>
      <c r="R113" s="124"/>
      <c r="S113" s="125"/>
      <c r="T113" s="130">
        <v>102223</v>
      </c>
      <c r="U113" s="131">
        <v>3528.55</v>
      </c>
      <c r="V113" s="130">
        <f t="shared" si="16"/>
        <v>105751.55</v>
      </c>
      <c r="W113" s="130"/>
      <c r="X113" s="130"/>
      <c r="Y113" s="130"/>
      <c r="Z113" s="130"/>
      <c r="AA113" s="130"/>
      <c r="AB113" s="130"/>
      <c r="AC113" s="130">
        <f t="shared" si="46"/>
        <v>38164.879999999997</v>
      </c>
      <c r="AD113" s="130">
        <v>34835.22</v>
      </c>
      <c r="AE113" s="130">
        <v>3329.66</v>
      </c>
      <c r="AF113" s="130"/>
      <c r="AG113" s="130"/>
      <c r="AH113" s="130"/>
      <c r="AI113" s="88">
        <v>5</v>
      </c>
      <c r="AJ113" s="120"/>
      <c r="AK113" s="121"/>
      <c r="AL113" s="120"/>
    </row>
    <row r="114" spans="1:38" ht="11.4" customHeight="1">
      <c r="A114" s="88">
        <v>6</v>
      </c>
      <c r="B114" s="144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1"/>
      <c r="N114" s="146"/>
      <c r="O114" s="147"/>
      <c r="P114" s="148"/>
      <c r="Q114" s="146"/>
      <c r="R114" s="147"/>
      <c r="S114" s="136"/>
      <c r="T114" s="130">
        <v>102223</v>
      </c>
      <c r="U114" s="131">
        <v>3038.43</v>
      </c>
      <c r="V114" s="130">
        <f t="shared" si="16"/>
        <v>105261.43</v>
      </c>
      <c r="W114" s="130"/>
      <c r="X114" s="130"/>
      <c r="Y114" s="130"/>
      <c r="Z114" s="130"/>
      <c r="AA114" s="130"/>
      <c r="AB114" s="130"/>
      <c r="AC114" s="130">
        <f t="shared" si="46"/>
        <v>38164.879999999997</v>
      </c>
      <c r="AD114" s="130">
        <v>35125.51</v>
      </c>
      <c r="AE114" s="130">
        <v>3039.37</v>
      </c>
      <c r="AF114" s="130"/>
      <c r="AG114" s="130"/>
      <c r="AH114" s="130"/>
      <c r="AI114" s="88">
        <v>6</v>
      </c>
      <c r="AJ114" s="120"/>
      <c r="AK114" s="121"/>
      <c r="AL114" s="120"/>
    </row>
    <row r="115" spans="1:38" ht="11.4" customHeight="1">
      <c r="A115" s="88"/>
      <c r="B115" s="144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1"/>
      <c r="N115" s="195">
        <f>SUM(N112:N114)</f>
        <v>91628</v>
      </c>
      <c r="O115" s="195">
        <f t="shared" ref="O115:AE115" si="63">SUM(O112:O114)</f>
        <v>571.03</v>
      </c>
      <c r="P115" s="195">
        <f t="shared" si="63"/>
        <v>92199.03</v>
      </c>
      <c r="Q115" s="195">
        <f t="shared" si="63"/>
        <v>0</v>
      </c>
      <c r="R115" s="195">
        <f t="shared" si="63"/>
        <v>0</v>
      </c>
      <c r="S115" s="195">
        <f t="shared" si="63"/>
        <v>0</v>
      </c>
      <c r="T115" s="195">
        <f t="shared" si="63"/>
        <v>306669</v>
      </c>
      <c r="U115" s="195">
        <f t="shared" si="63"/>
        <v>10820.89</v>
      </c>
      <c r="V115" s="195">
        <f t="shared" si="63"/>
        <v>317489.89</v>
      </c>
      <c r="W115" s="195">
        <f t="shared" si="63"/>
        <v>0</v>
      </c>
      <c r="X115" s="195">
        <f t="shared" si="63"/>
        <v>0</v>
      </c>
      <c r="Y115" s="195">
        <f t="shared" si="63"/>
        <v>0</v>
      </c>
      <c r="Z115" s="195">
        <f t="shared" si="63"/>
        <v>0</v>
      </c>
      <c r="AA115" s="195">
        <f t="shared" si="63"/>
        <v>0</v>
      </c>
      <c r="AB115" s="195">
        <f t="shared" si="63"/>
        <v>0</v>
      </c>
      <c r="AC115" s="195">
        <f t="shared" si="63"/>
        <v>114494.64</v>
      </c>
      <c r="AD115" s="195">
        <f t="shared" si="63"/>
        <v>104508.06</v>
      </c>
      <c r="AE115" s="195">
        <f t="shared" si="63"/>
        <v>9986.58</v>
      </c>
      <c r="AF115" s="229"/>
      <c r="AG115" s="229"/>
      <c r="AH115" s="229"/>
      <c r="AI115" s="88"/>
      <c r="AJ115" s="120">
        <f t="shared" si="50"/>
        <v>502805.06</v>
      </c>
      <c r="AK115" s="121">
        <f t="shared" si="50"/>
        <v>21378.5</v>
      </c>
      <c r="AL115" s="120">
        <f t="shared" si="51"/>
        <v>524183.56</v>
      </c>
    </row>
    <row r="116" spans="1:38" ht="11.4" customHeight="1">
      <c r="A116" s="88">
        <v>7</v>
      </c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1"/>
      <c r="N116" s="149"/>
      <c r="O116" s="140"/>
      <c r="P116" s="91"/>
      <c r="Q116" s="123"/>
      <c r="R116" s="124"/>
      <c r="S116" s="125"/>
      <c r="T116" s="130">
        <v>102223</v>
      </c>
      <c r="U116" s="131">
        <v>2352.29</v>
      </c>
      <c r="V116" s="130">
        <f t="shared" si="16"/>
        <v>104575.29</v>
      </c>
      <c r="W116" s="130"/>
      <c r="X116" s="130"/>
      <c r="Y116" s="130"/>
      <c r="Z116" s="130"/>
      <c r="AA116" s="130"/>
      <c r="AB116" s="130"/>
      <c r="AC116" s="130">
        <f t="shared" si="46"/>
        <v>38164.879999999997</v>
      </c>
      <c r="AD116" s="130">
        <v>35418.230000000003</v>
      </c>
      <c r="AE116" s="130">
        <v>2746.65</v>
      </c>
      <c r="AF116" s="130"/>
      <c r="AG116" s="130"/>
      <c r="AH116" s="130"/>
      <c r="AI116" s="88">
        <v>7</v>
      </c>
      <c r="AJ116" s="120"/>
      <c r="AK116" s="121"/>
      <c r="AL116" s="120"/>
    </row>
    <row r="117" spans="1:38" ht="11.4" customHeight="1">
      <c r="A117" s="88">
        <v>8</v>
      </c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1"/>
      <c r="N117" s="149"/>
      <c r="O117" s="140"/>
      <c r="P117" s="141"/>
      <c r="Q117" s="149"/>
      <c r="R117" s="140"/>
      <c r="S117" s="150"/>
      <c r="T117" s="130">
        <v>102223</v>
      </c>
      <c r="U117" s="131">
        <v>1822.96</v>
      </c>
      <c r="V117" s="130">
        <f t="shared" si="16"/>
        <v>104045.96</v>
      </c>
      <c r="W117" s="130"/>
      <c r="X117" s="130"/>
      <c r="Y117" s="130"/>
      <c r="Z117" s="130"/>
      <c r="AA117" s="130"/>
      <c r="AB117" s="130"/>
      <c r="AC117" s="130">
        <f t="shared" si="46"/>
        <v>38164.879999999997</v>
      </c>
      <c r="AD117" s="130">
        <v>35713.379999999997</v>
      </c>
      <c r="AE117" s="130">
        <v>2451.5</v>
      </c>
      <c r="AF117" s="130"/>
      <c r="AG117" s="130"/>
      <c r="AH117" s="130"/>
      <c r="AI117" s="88">
        <v>8</v>
      </c>
      <c r="AJ117" s="120"/>
      <c r="AK117" s="121"/>
      <c r="AL117" s="120"/>
    </row>
    <row r="118" spans="1:38" ht="11.4" customHeight="1">
      <c r="A118" s="88">
        <v>9</v>
      </c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1"/>
      <c r="N118" s="149"/>
      <c r="O118" s="140"/>
      <c r="P118" s="141"/>
      <c r="Q118" s="149"/>
      <c r="R118" s="140"/>
      <c r="S118" s="150"/>
      <c r="T118" s="98">
        <v>204404</v>
      </c>
      <c r="U118" s="131">
        <v>1607.15</v>
      </c>
      <c r="V118" s="130">
        <f t="shared" si="16"/>
        <v>206011.15</v>
      </c>
      <c r="W118" s="130"/>
      <c r="X118" s="130"/>
      <c r="Y118" s="130"/>
      <c r="Z118" s="130"/>
      <c r="AA118" s="130"/>
      <c r="AB118" s="130"/>
      <c r="AC118" s="130">
        <f t="shared" si="46"/>
        <v>38164.879999999997</v>
      </c>
      <c r="AD118" s="130">
        <v>36010.99</v>
      </c>
      <c r="AE118" s="130">
        <v>2153.89</v>
      </c>
      <c r="AF118" s="130"/>
      <c r="AG118" s="130"/>
      <c r="AH118" s="130"/>
      <c r="AI118" s="88">
        <v>9</v>
      </c>
      <c r="AJ118" s="120"/>
      <c r="AK118" s="121"/>
      <c r="AL118" s="120"/>
    </row>
    <row r="119" spans="1:38" ht="11.4" customHeight="1">
      <c r="A119" s="88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1"/>
      <c r="N119" s="149"/>
      <c r="O119" s="140"/>
      <c r="P119" s="141"/>
      <c r="Q119" s="149"/>
      <c r="R119" s="140"/>
      <c r="S119" s="150"/>
      <c r="T119" s="115">
        <f>SUM(T116:T118)</f>
        <v>408850</v>
      </c>
      <c r="U119" s="115">
        <f t="shared" ref="U119:AE119" si="64">SUM(U116:U118)</f>
        <v>5782.4</v>
      </c>
      <c r="V119" s="115">
        <f t="shared" si="64"/>
        <v>414632.4</v>
      </c>
      <c r="W119" s="115">
        <f t="shared" si="64"/>
        <v>0</v>
      </c>
      <c r="X119" s="115">
        <f t="shared" si="64"/>
        <v>0</v>
      </c>
      <c r="Y119" s="115">
        <f t="shared" si="64"/>
        <v>0</v>
      </c>
      <c r="Z119" s="115">
        <f t="shared" si="64"/>
        <v>0</v>
      </c>
      <c r="AA119" s="115">
        <f t="shared" si="64"/>
        <v>0</v>
      </c>
      <c r="AB119" s="115">
        <f t="shared" si="64"/>
        <v>0</v>
      </c>
      <c r="AC119" s="115">
        <f t="shared" si="64"/>
        <v>114494.64</v>
      </c>
      <c r="AD119" s="115">
        <f t="shared" si="64"/>
        <v>107142.6</v>
      </c>
      <c r="AE119" s="115">
        <f t="shared" si="64"/>
        <v>7352.04</v>
      </c>
      <c r="AF119" s="156"/>
      <c r="AG119" s="156"/>
      <c r="AH119" s="156"/>
      <c r="AI119" s="88"/>
      <c r="AJ119" s="120">
        <f t="shared" si="50"/>
        <v>515992.6</v>
      </c>
      <c r="AK119" s="121">
        <f t="shared" si="50"/>
        <v>13134.44</v>
      </c>
      <c r="AL119" s="120">
        <f t="shared" si="51"/>
        <v>529127.04</v>
      </c>
    </row>
    <row r="120" spans="1:38" ht="11.4" customHeight="1">
      <c r="A120" s="88">
        <v>10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1"/>
      <c r="N120" s="149"/>
      <c r="O120" s="140"/>
      <c r="P120" s="141"/>
      <c r="Q120" s="149"/>
      <c r="R120" s="140"/>
      <c r="S120" s="150"/>
      <c r="T120" s="151"/>
      <c r="U120" s="138"/>
      <c r="V120" s="139"/>
      <c r="W120" s="139"/>
      <c r="X120" s="139"/>
      <c r="Y120" s="139"/>
      <c r="Z120" s="139"/>
      <c r="AA120" s="139"/>
      <c r="AB120" s="139"/>
      <c r="AC120" s="130">
        <f t="shared" si="46"/>
        <v>38164.879999999997</v>
      </c>
      <c r="AD120" s="130">
        <v>36311.08</v>
      </c>
      <c r="AE120" s="130">
        <v>1853.8</v>
      </c>
      <c r="AF120" s="130"/>
      <c r="AG120" s="130"/>
      <c r="AH120" s="130"/>
      <c r="AI120" s="88">
        <v>10</v>
      </c>
      <c r="AJ120" s="120"/>
      <c r="AK120" s="121"/>
      <c r="AL120" s="120"/>
    </row>
    <row r="121" spans="1:38" ht="11.4" customHeight="1">
      <c r="A121" s="88">
        <v>11</v>
      </c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1"/>
      <c r="N121" s="149"/>
      <c r="O121" s="140"/>
      <c r="P121" s="141"/>
      <c r="Q121" s="149"/>
      <c r="R121" s="140"/>
      <c r="S121" s="150"/>
      <c r="T121" s="151"/>
      <c r="U121" s="138"/>
      <c r="V121" s="130"/>
      <c r="W121" s="130"/>
      <c r="X121" s="130"/>
      <c r="Y121" s="130"/>
      <c r="Z121" s="130"/>
      <c r="AA121" s="130"/>
      <c r="AB121" s="130"/>
      <c r="AC121" s="130">
        <f t="shared" si="46"/>
        <v>38164.879999999997</v>
      </c>
      <c r="AD121" s="130">
        <v>36613.67</v>
      </c>
      <c r="AE121" s="130">
        <v>1551.21</v>
      </c>
      <c r="AF121" s="130"/>
      <c r="AG121" s="130"/>
      <c r="AH121" s="130"/>
      <c r="AI121" s="152">
        <v>11</v>
      </c>
      <c r="AJ121" s="120"/>
      <c r="AK121" s="121"/>
      <c r="AL121" s="120"/>
    </row>
    <row r="122" spans="1:38" ht="11.4" customHeight="1">
      <c r="A122" s="88">
        <v>12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1"/>
      <c r="N122" s="149"/>
      <c r="O122" s="140"/>
      <c r="P122" s="141"/>
      <c r="Q122" s="149"/>
      <c r="R122" s="140"/>
      <c r="S122" s="150"/>
      <c r="T122" s="144"/>
      <c r="U122" s="133"/>
      <c r="V122" s="91"/>
      <c r="W122" s="130"/>
      <c r="X122" s="130"/>
      <c r="Y122" s="130"/>
      <c r="Z122" s="130"/>
      <c r="AA122" s="130"/>
      <c r="AB122" s="130"/>
      <c r="AC122" s="130">
        <f t="shared" si="46"/>
        <v>38164.879999999997</v>
      </c>
      <c r="AD122" s="130">
        <v>36918.79</v>
      </c>
      <c r="AE122" s="130">
        <v>1246.0899999999999</v>
      </c>
      <c r="AF122" s="130"/>
      <c r="AG122" s="130"/>
      <c r="AH122" s="130"/>
      <c r="AI122" s="152">
        <v>12</v>
      </c>
      <c r="AJ122" s="120"/>
      <c r="AK122" s="121"/>
      <c r="AL122" s="120"/>
    </row>
    <row r="123" spans="1:38" ht="11.4" customHeight="1">
      <c r="A123" s="88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1"/>
      <c r="N123" s="149"/>
      <c r="O123" s="144"/>
      <c r="P123" s="191"/>
      <c r="Q123" s="149"/>
      <c r="R123" s="140"/>
      <c r="S123" s="150"/>
      <c r="T123" s="144"/>
      <c r="U123" s="192"/>
      <c r="V123" s="130"/>
      <c r="W123" s="193"/>
      <c r="X123" s="193"/>
      <c r="Y123" s="193"/>
      <c r="Z123" s="193"/>
      <c r="AA123" s="193"/>
      <c r="AB123" s="193"/>
      <c r="AC123" s="134">
        <f>SUM(AC120:AC122)</f>
        <v>114494.64</v>
      </c>
      <c r="AD123" s="134">
        <f t="shared" ref="AD123:AE123" si="65">SUM(AD120:AD122)</f>
        <v>109843.54</v>
      </c>
      <c r="AE123" s="134">
        <f t="shared" si="65"/>
        <v>4651.1000000000004</v>
      </c>
      <c r="AF123" s="134"/>
      <c r="AG123" s="134"/>
      <c r="AH123" s="134"/>
      <c r="AI123" s="152"/>
      <c r="AJ123" s="120">
        <f t="shared" si="50"/>
        <v>109843.54</v>
      </c>
      <c r="AK123" s="121">
        <f t="shared" si="50"/>
        <v>4651.1000000000004</v>
      </c>
      <c r="AL123" s="120">
        <f t="shared" si="51"/>
        <v>114494.64</v>
      </c>
    </row>
    <row r="124" spans="1:38" ht="11.4" customHeight="1">
      <c r="A124" s="135" t="s">
        <v>482</v>
      </c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1"/>
      <c r="N124" s="146">
        <f>N111+N115+N119+N123</f>
        <v>229130</v>
      </c>
      <c r="O124" s="146">
        <f t="shared" ref="O124:AE124" si="66">O111+O115+O119+O123</f>
        <v>2868.51</v>
      </c>
      <c r="P124" s="146">
        <f t="shared" si="66"/>
        <v>231998.51</v>
      </c>
      <c r="Q124" s="146">
        <f t="shared" si="66"/>
        <v>0</v>
      </c>
      <c r="R124" s="146">
        <f t="shared" si="66"/>
        <v>0</v>
      </c>
      <c r="S124" s="146">
        <f t="shared" si="66"/>
        <v>0</v>
      </c>
      <c r="T124" s="146">
        <f t="shared" si="66"/>
        <v>1022188</v>
      </c>
      <c r="U124" s="146">
        <f t="shared" si="66"/>
        <v>32697.78</v>
      </c>
      <c r="V124" s="146">
        <f t="shared" si="66"/>
        <v>1054885.78</v>
      </c>
      <c r="W124" s="146">
        <f t="shared" si="66"/>
        <v>0</v>
      </c>
      <c r="X124" s="146">
        <f t="shared" si="66"/>
        <v>0</v>
      </c>
      <c r="Y124" s="146">
        <f t="shared" si="66"/>
        <v>0</v>
      </c>
      <c r="Z124" s="146">
        <f t="shared" si="66"/>
        <v>0</v>
      </c>
      <c r="AA124" s="146">
        <f t="shared" si="66"/>
        <v>0</v>
      </c>
      <c r="AB124" s="146">
        <f t="shared" si="66"/>
        <v>0</v>
      </c>
      <c r="AC124" s="146">
        <f t="shared" si="66"/>
        <v>457978.56</v>
      </c>
      <c r="AD124" s="146">
        <f t="shared" si="66"/>
        <v>423432.51</v>
      </c>
      <c r="AE124" s="146">
        <f t="shared" si="66"/>
        <v>34546.050000000003</v>
      </c>
      <c r="AF124" s="151"/>
      <c r="AG124" s="151"/>
      <c r="AH124" s="151"/>
      <c r="AI124" s="143" t="s">
        <v>482</v>
      </c>
      <c r="AJ124" s="120">
        <f>B124+F124+I124+K124+N124+Q124+T124+W124+Z124+AD124</f>
        <v>1674750.51</v>
      </c>
      <c r="AK124" s="121">
        <f t="shared" ref="AK124" si="67">C124+G124+J124+L124+O124+R124+U124+X124+AA124+AE124</f>
        <v>70112.34</v>
      </c>
      <c r="AL124" s="120">
        <f t="shared" si="51"/>
        <v>1744862.85</v>
      </c>
    </row>
    <row r="125" spans="1:38" ht="11.4" customHeight="1">
      <c r="A125" s="185"/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7"/>
      <c r="O125" s="187"/>
      <c r="P125" s="187"/>
      <c r="Q125" s="186"/>
      <c r="R125" s="186"/>
      <c r="S125" s="186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8">
        <f t="shared" si="46"/>
        <v>38164.879999999997</v>
      </c>
      <c r="AD125" s="189">
        <v>37226.44</v>
      </c>
      <c r="AE125" s="189">
        <v>938.44</v>
      </c>
      <c r="AF125" s="189"/>
      <c r="AG125" s="189"/>
      <c r="AH125" s="189"/>
      <c r="AI125" s="190" t="s">
        <v>587</v>
      </c>
      <c r="AJ125" s="120">
        <f>AJ111+AJ115+AJ119+AJ123</f>
        <v>1674750.51</v>
      </c>
      <c r="AK125" s="120">
        <f t="shared" ref="AK125:AL125" si="68">AK111+AK115+AK119+AK123</f>
        <v>70112.34</v>
      </c>
      <c r="AL125" s="120">
        <f t="shared" si="68"/>
        <v>1744862.85</v>
      </c>
    </row>
    <row r="126" spans="1:38" ht="11.4" customHeight="1">
      <c r="A126" s="185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7"/>
      <c r="O126" s="187"/>
      <c r="P126" s="187"/>
      <c r="Q126" s="186"/>
      <c r="R126" s="186"/>
      <c r="S126" s="186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9">
        <f t="shared" si="46"/>
        <v>38164.879999999997</v>
      </c>
      <c r="AD126" s="189">
        <v>37536.660000000003</v>
      </c>
      <c r="AE126" s="189">
        <v>628.22</v>
      </c>
      <c r="AF126" s="189"/>
      <c r="AG126" s="189"/>
      <c r="AH126" s="189"/>
      <c r="AI126" s="190">
        <v>2</v>
      </c>
      <c r="AJ126" s="120"/>
      <c r="AK126" s="120"/>
      <c r="AL126" s="120"/>
    </row>
    <row r="127" spans="1:38" ht="11.4" customHeight="1">
      <c r="A127" s="185"/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7"/>
      <c r="O127" s="187"/>
      <c r="P127" s="187"/>
      <c r="Q127" s="186"/>
      <c r="R127" s="186"/>
      <c r="S127" s="186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9">
        <f t="shared" si="46"/>
        <v>38164.629999999997</v>
      </c>
      <c r="AD127" s="189">
        <v>37849.22</v>
      </c>
      <c r="AE127" s="189">
        <v>315.41000000000003</v>
      </c>
      <c r="AF127" s="189"/>
      <c r="AG127" s="189"/>
      <c r="AH127" s="189"/>
      <c r="AI127" s="190">
        <v>3</v>
      </c>
      <c r="AJ127" s="120"/>
      <c r="AK127" s="120"/>
      <c r="AL127" s="120"/>
    </row>
    <row r="128" spans="1:38" ht="11.4" customHeight="1">
      <c r="A128" s="185"/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7"/>
      <c r="O128" s="187"/>
      <c r="P128" s="187"/>
      <c r="Q128" s="186"/>
      <c r="R128" s="186"/>
      <c r="S128" s="186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96">
        <f>SUM(AC125:AC127)</f>
        <v>114494.39</v>
      </c>
      <c r="AD128" s="196">
        <f>SUM(AD125:AD127)</f>
        <v>112612.32</v>
      </c>
      <c r="AE128" s="196">
        <f>SUM(AE125:AE127)</f>
        <v>1882.07</v>
      </c>
      <c r="AF128" s="196"/>
      <c r="AG128" s="196"/>
      <c r="AH128" s="196"/>
      <c r="AI128" s="185"/>
      <c r="AJ128" s="120">
        <f>AD128</f>
        <v>112612.32</v>
      </c>
      <c r="AK128" s="120">
        <f>AE128</f>
        <v>1882.07</v>
      </c>
      <c r="AL128" s="120">
        <f>AC128</f>
        <v>114494.39</v>
      </c>
    </row>
    <row r="129" spans="1:38" ht="11.4" customHeight="1">
      <c r="A129" s="185"/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7"/>
      <c r="O129" s="187"/>
      <c r="P129" s="187"/>
      <c r="Q129" s="186"/>
      <c r="R129" s="186"/>
      <c r="S129" s="186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5"/>
      <c r="AJ129" s="120"/>
      <c r="AK129" s="120"/>
      <c r="AL129" s="120"/>
    </row>
    <row r="130" spans="1:38" ht="11.4" customHeight="1">
      <c r="A130" s="185"/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7"/>
      <c r="O130" s="187"/>
      <c r="P130" s="187"/>
      <c r="Q130" s="186"/>
      <c r="R130" s="186"/>
      <c r="S130" s="186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5"/>
      <c r="AJ130" s="120"/>
      <c r="AK130" s="120"/>
      <c r="AL130" s="120"/>
    </row>
    <row r="134" spans="1:38" ht="31.5" customHeight="1">
      <c r="N134" s="782" t="s">
        <v>356</v>
      </c>
      <c r="O134" s="782"/>
      <c r="P134" s="781" t="s">
        <v>488</v>
      </c>
      <c r="Q134" s="781"/>
      <c r="R134" s="781"/>
      <c r="S134" s="157"/>
      <c r="T134" s="69" t="s">
        <v>484</v>
      </c>
      <c r="U134" s="69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</row>
    <row r="135" spans="1:38" ht="15.6">
      <c r="N135" s="231" t="s">
        <v>487</v>
      </c>
      <c r="O135" s="68"/>
      <c r="P135" s="568" t="s">
        <v>69</v>
      </c>
      <c r="Q135" s="568"/>
      <c r="R135" s="568"/>
      <c r="S135" s="568" t="s">
        <v>483</v>
      </c>
      <c r="T135" s="568"/>
      <c r="U135" s="568"/>
      <c r="V135" s="568"/>
      <c r="W135" s="231"/>
      <c r="X135" s="231"/>
      <c r="Y135" s="231"/>
      <c r="Z135" s="231"/>
      <c r="AA135" s="231"/>
      <c r="AB135" s="231"/>
      <c r="AC135" s="231"/>
      <c r="AD135" s="231"/>
      <c r="AE135" s="231"/>
      <c r="AF135" s="231"/>
      <c r="AG135" s="231"/>
      <c r="AH135" s="231"/>
    </row>
    <row r="136" spans="1:38" ht="15.6">
      <c r="S136" s="568"/>
      <c r="T136" s="568"/>
      <c r="U136" s="568"/>
      <c r="V136" s="568"/>
      <c r="W136" s="231"/>
      <c r="X136" s="231"/>
      <c r="Y136" s="231"/>
      <c r="Z136" s="231"/>
      <c r="AA136" s="231"/>
      <c r="AB136" s="231"/>
      <c r="AC136" s="231"/>
      <c r="AD136" s="231"/>
      <c r="AE136" s="231"/>
      <c r="AF136" s="231"/>
      <c r="AG136" s="231"/>
      <c r="AH136" s="231"/>
    </row>
  </sheetData>
  <sheetProtection algorithmName="SHA-512" hashValue="7DLnEUdlqu2oZ9kEZbSORntwZ8r37t8Pc+E4bRWv1o+3R5dyUjOmfXsVK9LtqU7jFxYVlpDLR5V924SttT/zgg==" saltValue="V8TQ31+Tj6H7y14k7Le/ww==" spinCount="100000" sheet="1" objects="1" scenarios="1" selectLockedCells="1" selectUnlockedCells="1"/>
  <mergeCells count="18">
    <mergeCell ref="P134:R134"/>
    <mergeCell ref="P135:R135"/>
    <mergeCell ref="S135:V136"/>
    <mergeCell ref="N134:O134"/>
    <mergeCell ref="A1:M1"/>
    <mergeCell ref="T2:V2"/>
    <mergeCell ref="E2:G2"/>
    <mergeCell ref="AJ2:AL2"/>
    <mergeCell ref="A2:A3"/>
    <mergeCell ref="B2:D2"/>
    <mergeCell ref="H2:J2"/>
    <mergeCell ref="K2:M2"/>
    <mergeCell ref="N2:P2"/>
    <mergeCell ref="Q2:S2"/>
    <mergeCell ref="W2:Y2"/>
    <mergeCell ref="Z2:AB2"/>
    <mergeCell ref="AC2:AE2"/>
    <mergeCell ref="AF2:AH2"/>
  </mergeCells>
  <pageMargins left="0.15748031496062992" right="0.17" top="0.17" bottom="0.16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24"/>
  <sheetViews>
    <sheetView topLeftCell="A74" zoomScale="62" zoomScaleNormal="62" workbookViewId="0">
      <selection activeCell="A54" sqref="A1:XFD1048576"/>
    </sheetView>
  </sheetViews>
  <sheetFormatPr defaultColWidth="9.109375" defaultRowHeight="21"/>
  <cols>
    <col min="1" max="1" width="91.44140625" style="358" customWidth="1"/>
    <col min="2" max="2" width="14.88671875" style="366" customWidth="1"/>
    <col min="3" max="3" width="18.109375" style="366" customWidth="1"/>
    <col min="4" max="4" width="18" style="366" customWidth="1"/>
    <col min="5" max="5" width="18.5546875" style="366" customWidth="1"/>
    <col min="6" max="6" width="18.109375" style="358" customWidth="1"/>
    <col min="7" max="7" width="18" style="358" customWidth="1"/>
    <col min="8" max="8" width="18.44140625" style="358" customWidth="1"/>
    <col min="9" max="9" width="19" style="358" customWidth="1"/>
    <col min="10" max="10" width="18.109375" style="358" customWidth="1"/>
    <col min="11" max="11" width="29.5546875" style="358" customWidth="1"/>
    <col min="12" max="16384" width="9.109375" style="358"/>
  </cols>
  <sheetData>
    <row r="1" spans="1:13">
      <c r="K1" s="28" t="s">
        <v>354</v>
      </c>
    </row>
    <row r="2" spans="1:13" ht="22.8">
      <c r="A2" s="498" t="s">
        <v>169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</row>
    <row r="3" spans="1:13" ht="26.25" customHeight="1">
      <c r="A3" s="405"/>
      <c r="B3" s="373"/>
      <c r="C3" s="405"/>
      <c r="D3" s="405"/>
      <c r="E3" s="373"/>
      <c r="F3" s="405"/>
      <c r="G3" s="405"/>
      <c r="H3" s="405"/>
      <c r="I3" s="405"/>
      <c r="J3" s="397" t="s">
        <v>360</v>
      </c>
    </row>
    <row r="4" spans="1:13" ht="36" customHeight="1">
      <c r="A4" s="494" t="s">
        <v>164</v>
      </c>
      <c r="B4" s="492" t="s">
        <v>17</v>
      </c>
      <c r="C4" s="487" t="s">
        <v>631</v>
      </c>
      <c r="D4" s="487" t="s">
        <v>632</v>
      </c>
      <c r="E4" s="485" t="s">
        <v>633</v>
      </c>
      <c r="F4" s="492" t="s">
        <v>634</v>
      </c>
      <c r="G4" s="492" t="s">
        <v>329</v>
      </c>
      <c r="H4" s="492"/>
      <c r="I4" s="492"/>
      <c r="J4" s="492"/>
      <c r="K4" s="492" t="s">
        <v>153</v>
      </c>
    </row>
    <row r="5" spans="1:13" ht="72" customHeight="1">
      <c r="A5" s="494"/>
      <c r="B5" s="492"/>
      <c r="C5" s="488"/>
      <c r="D5" s="488"/>
      <c r="E5" s="486"/>
      <c r="F5" s="492"/>
      <c r="G5" s="256" t="s">
        <v>126</v>
      </c>
      <c r="H5" s="256" t="s">
        <v>127</v>
      </c>
      <c r="I5" s="256" t="s">
        <v>128</v>
      </c>
      <c r="J5" s="256" t="s">
        <v>63</v>
      </c>
      <c r="K5" s="492"/>
    </row>
    <row r="6" spans="1:13" ht="30.75" customHeight="1">
      <c r="A6" s="249">
        <v>1</v>
      </c>
      <c r="B6" s="250">
        <v>2</v>
      </c>
      <c r="C6" s="250">
        <v>3</v>
      </c>
      <c r="D6" s="250">
        <v>4</v>
      </c>
      <c r="E6" s="250">
        <v>5</v>
      </c>
      <c r="F6" s="250">
        <v>6</v>
      </c>
      <c r="G6" s="250">
        <v>7</v>
      </c>
      <c r="H6" s="250">
        <v>8</v>
      </c>
      <c r="I6" s="250">
        <v>9</v>
      </c>
      <c r="J6" s="250">
        <v>10</v>
      </c>
      <c r="K6" s="250">
        <v>11</v>
      </c>
    </row>
    <row r="7" spans="1:13" s="415" customFormat="1" ht="33" customHeight="1">
      <c r="A7" s="521" t="s">
        <v>168</v>
      </c>
      <c r="B7" s="522"/>
      <c r="C7" s="522"/>
      <c r="D7" s="522"/>
      <c r="E7" s="522"/>
      <c r="F7" s="522"/>
      <c r="G7" s="522"/>
      <c r="H7" s="522"/>
      <c r="I7" s="522"/>
      <c r="J7" s="522"/>
      <c r="K7" s="523"/>
    </row>
    <row r="8" spans="1:13" s="415" customFormat="1" ht="29.25" customHeight="1">
      <c r="A8" s="292" t="s">
        <v>138</v>
      </c>
      <c r="B8" s="309">
        <v>1000</v>
      </c>
      <c r="C8" s="233">
        <v>100735</v>
      </c>
      <c r="D8" s="233">
        <v>119752</v>
      </c>
      <c r="E8" s="233">
        <f>D8</f>
        <v>119752</v>
      </c>
      <c r="F8" s="233">
        <f>SUM(G8:J8)</f>
        <v>139512</v>
      </c>
      <c r="G8" s="233">
        <v>34878</v>
      </c>
      <c r="H8" s="233">
        <v>34878</v>
      </c>
      <c r="I8" s="233">
        <v>34878</v>
      </c>
      <c r="J8" s="233">
        <v>34878</v>
      </c>
      <c r="K8" s="398"/>
    </row>
    <row r="9" spans="1:13" s="415" customFormat="1" ht="29.25" customHeight="1">
      <c r="A9" s="292" t="s">
        <v>119</v>
      </c>
      <c r="B9" s="309">
        <v>1010</v>
      </c>
      <c r="C9" s="233">
        <f>SUM(C10:C17)</f>
        <v>-90529</v>
      </c>
      <c r="D9" s="233">
        <f>SUM(D10:D17)</f>
        <v>-101944</v>
      </c>
      <c r="E9" s="233">
        <f>SUM(E10:E17)</f>
        <v>-101944</v>
      </c>
      <c r="F9" s="233">
        <f>SUM(G9:J9)</f>
        <v>-123182</v>
      </c>
      <c r="G9" s="233">
        <f t="shared" ref="G9:J9" si="0">SUM(G10:G17)</f>
        <v>-30631</v>
      </c>
      <c r="H9" s="233">
        <f t="shared" si="0"/>
        <v>-30631</v>
      </c>
      <c r="I9" s="233">
        <f t="shared" si="0"/>
        <v>-30960</v>
      </c>
      <c r="J9" s="233">
        <f t="shared" si="0"/>
        <v>-30960</v>
      </c>
      <c r="K9" s="398"/>
    </row>
    <row r="10" spans="1:13" s="29" customFormat="1" ht="30.75" customHeight="1">
      <c r="A10" s="265" t="s">
        <v>303</v>
      </c>
      <c r="B10" s="250">
        <v>1011</v>
      </c>
      <c r="C10" s="232">
        <v>-31602</v>
      </c>
      <c r="D10" s="232">
        <v>-34492</v>
      </c>
      <c r="E10" s="232">
        <v>-43225</v>
      </c>
      <c r="F10" s="232">
        <f t="shared" ref="F10:F17" si="1">SUM(G10:J10)</f>
        <v>-59504</v>
      </c>
      <c r="G10" s="232">
        <v>-14876</v>
      </c>
      <c r="H10" s="232">
        <v>-14876</v>
      </c>
      <c r="I10" s="232">
        <v>-14876</v>
      </c>
      <c r="J10" s="232">
        <v>-14876</v>
      </c>
      <c r="K10" s="399"/>
    </row>
    <row r="11" spans="1:13" s="29" customFormat="1" ht="30.75" customHeight="1">
      <c r="A11" s="265" t="s">
        <v>393</v>
      </c>
      <c r="B11" s="250">
        <v>1012</v>
      </c>
      <c r="C11" s="232" t="s">
        <v>197</v>
      </c>
      <c r="D11" s="232" t="s">
        <v>197</v>
      </c>
      <c r="E11" s="232" t="s">
        <v>197</v>
      </c>
      <c r="F11" s="232">
        <f t="shared" si="1"/>
        <v>0</v>
      </c>
      <c r="G11" s="232" t="s">
        <v>197</v>
      </c>
      <c r="H11" s="232" t="s">
        <v>197</v>
      </c>
      <c r="I11" s="232" t="s">
        <v>197</v>
      </c>
      <c r="J11" s="232" t="s">
        <v>197</v>
      </c>
      <c r="K11" s="399"/>
    </row>
    <row r="12" spans="1:13" s="29" customFormat="1" ht="30.75" customHeight="1">
      <c r="A12" s="265" t="s">
        <v>304</v>
      </c>
      <c r="B12" s="250">
        <v>1013</v>
      </c>
      <c r="C12" s="232">
        <v>-191</v>
      </c>
      <c r="D12" s="232">
        <v>-148</v>
      </c>
      <c r="E12" s="232">
        <v>-613</v>
      </c>
      <c r="F12" s="232">
        <f t="shared" si="1"/>
        <v>-796</v>
      </c>
      <c r="G12" s="232">
        <v>-199</v>
      </c>
      <c r="H12" s="232">
        <v>-199</v>
      </c>
      <c r="I12" s="232">
        <v>-199</v>
      </c>
      <c r="J12" s="232">
        <v>-199</v>
      </c>
      <c r="K12" s="399"/>
    </row>
    <row r="13" spans="1:13" s="29" customFormat="1" ht="30.75" customHeight="1">
      <c r="A13" s="265" t="s">
        <v>5</v>
      </c>
      <c r="B13" s="250">
        <v>1014</v>
      </c>
      <c r="C13" s="232">
        <v>-31170</v>
      </c>
      <c r="D13" s="232">
        <v>-39256</v>
      </c>
      <c r="E13" s="232">
        <v>-32251</v>
      </c>
      <c r="F13" s="232">
        <f t="shared" si="1"/>
        <v>-32292</v>
      </c>
      <c r="G13" s="232">
        <v>-8073</v>
      </c>
      <c r="H13" s="232">
        <v>-8073</v>
      </c>
      <c r="I13" s="232">
        <v>-8073</v>
      </c>
      <c r="J13" s="232">
        <v>-8073</v>
      </c>
      <c r="K13" s="400"/>
    </row>
    <row r="14" spans="1:13" s="29" customFormat="1" ht="30.75" customHeight="1">
      <c r="A14" s="265" t="s">
        <v>6</v>
      </c>
      <c r="B14" s="250">
        <v>1015</v>
      </c>
      <c r="C14" s="232">
        <v>-6747</v>
      </c>
      <c r="D14" s="232">
        <v>-8636</v>
      </c>
      <c r="E14" s="232">
        <v>-7095</v>
      </c>
      <c r="F14" s="232">
        <f t="shared" si="1"/>
        <v>-7104</v>
      </c>
      <c r="G14" s="232">
        <f>ROUND(G13*0.22,0)</f>
        <v>-1776</v>
      </c>
      <c r="H14" s="232">
        <f t="shared" ref="H14:J14" si="2">ROUND(H13*0.22,0)</f>
        <v>-1776</v>
      </c>
      <c r="I14" s="232">
        <f t="shared" si="2"/>
        <v>-1776</v>
      </c>
      <c r="J14" s="232">
        <f t="shared" si="2"/>
        <v>-1776</v>
      </c>
      <c r="K14" s="400"/>
    </row>
    <row r="15" spans="1:13" s="29" customFormat="1" ht="62.25" customHeight="1">
      <c r="A15" s="265" t="s">
        <v>305</v>
      </c>
      <c r="B15" s="250">
        <v>1016</v>
      </c>
      <c r="C15" s="232">
        <v>-1233</v>
      </c>
      <c r="D15" s="232">
        <v>-1072</v>
      </c>
      <c r="E15" s="232">
        <v>-420</v>
      </c>
      <c r="F15" s="232">
        <f t="shared" si="1"/>
        <v>-548</v>
      </c>
      <c r="G15" s="232">
        <v>-137</v>
      </c>
      <c r="H15" s="232">
        <v>-137</v>
      </c>
      <c r="I15" s="232">
        <v>-137</v>
      </c>
      <c r="J15" s="232">
        <v>-137</v>
      </c>
      <c r="K15" s="399"/>
    </row>
    <row r="16" spans="1:13" s="29" customFormat="1" ht="30.75" customHeight="1">
      <c r="A16" s="265" t="s">
        <v>306</v>
      </c>
      <c r="B16" s="250">
        <v>1017</v>
      </c>
      <c r="C16" s="232">
        <v>-6116</v>
      </c>
      <c r="D16" s="232">
        <v>-5968</v>
      </c>
      <c r="E16" s="232">
        <f t="shared" ref="E16:E72" si="3">D16</f>
        <v>-5968</v>
      </c>
      <c r="F16" s="232">
        <f t="shared" si="1"/>
        <v>-6138</v>
      </c>
      <c r="G16" s="232">
        <v>-1370</v>
      </c>
      <c r="H16" s="232">
        <v>-1370</v>
      </c>
      <c r="I16" s="232">
        <f>-1370-329</f>
        <v>-1699</v>
      </c>
      <c r="J16" s="232">
        <f>-1370-329</f>
        <v>-1699</v>
      </c>
      <c r="K16" s="399"/>
      <c r="M16" s="29" t="s">
        <v>678</v>
      </c>
    </row>
    <row r="17" spans="1:11" s="29" customFormat="1" ht="30.75" customHeight="1">
      <c r="A17" s="265" t="s">
        <v>307</v>
      </c>
      <c r="B17" s="250">
        <v>1018</v>
      </c>
      <c r="C17" s="232">
        <f>'Розшифровка до Формування'!C7</f>
        <v>-13470</v>
      </c>
      <c r="D17" s="232">
        <f>'Розшифровка до Формування'!D7</f>
        <v>-12372</v>
      </c>
      <c r="E17" s="232">
        <f>'Розшифровка до Формування'!E7</f>
        <v>-12372</v>
      </c>
      <c r="F17" s="232">
        <f t="shared" si="1"/>
        <v>-16800</v>
      </c>
      <c r="G17" s="232">
        <f>'Розшифровка до Формування'!G7</f>
        <v>-4200</v>
      </c>
      <c r="H17" s="232">
        <f>'Розшифровка до Формування'!H7</f>
        <v>-4200</v>
      </c>
      <c r="I17" s="232">
        <f>'Розшифровка до Формування'!I7</f>
        <v>-4200</v>
      </c>
      <c r="J17" s="232">
        <f>'Розшифровка до Формування'!J7</f>
        <v>-4200</v>
      </c>
      <c r="K17" s="399"/>
    </row>
    <row r="18" spans="1:11" s="415" customFormat="1" ht="29.25" customHeight="1">
      <c r="A18" s="292" t="s">
        <v>22</v>
      </c>
      <c r="B18" s="309">
        <v>1020</v>
      </c>
      <c r="C18" s="233">
        <f>SUM(C8,C9)</f>
        <v>10206</v>
      </c>
      <c r="D18" s="233">
        <f t="shared" ref="D18:F18" si="4">SUM(D8,D9)</f>
        <v>17808</v>
      </c>
      <c r="E18" s="233">
        <f t="shared" ref="E18:G18" si="5">SUM(E8,E9)</f>
        <v>17808</v>
      </c>
      <c r="F18" s="233">
        <f t="shared" si="4"/>
        <v>16330</v>
      </c>
      <c r="G18" s="233">
        <f t="shared" si="5"/>
        <v>4247</v>
      </c>
      <c r="H18" s="233">
        <f t="shared" ref="H18:J18" si="6">SUM(H8,H9)</f>
        <v>4247</v>
      </c>
      <c r="I18" s="233">
        <f t="shared" si="6"/>
        <v>3918</v>
      </c>
      <c r="J18" s="233">
        <f t="shared" si="6"/>
        <v>3918</v>
      </c>
      <c r="K18" s="398"/>
    </row>
    <row r="19" spans="1:11" s="29" customFormat="1" ht="30.75" customHeight="1">
      <c r="A19" s="292" t="s">
        <v>149</v>
      </c>
      <c r="B19" s="433">
        <v>1030</v>
      </c>
      <c r="C19" s="233">
        <f>SUM(C20:C37,C39)</f>
        <v>-7827</v>
      </c>
      <c r="D19" s="233">
        <f>SUM(D20:D37,D39)</f>
        <v>-9392</v>
      </c>
      <c r="E19" s="233">
        <f>SUM(E20:E37,E39)</f>
        <v>-9392</v>
      </c>
      <c r="F19" s="233">
        <f>SUM(G19:J19)</f>
        <v>-11320</v>
      </c>
      <c r="G19" s="233">
        <f>SUM(G20:G37,G39)</f>
        <v>-2830</v>
      </c>
      <c r="H19" s="233">
        <f t="shared" ref="H19:J19" si="7">SUM(H20:H37,H39)</f>
        <v>-2830</v>
      </c>
      <c r="I19" s="233">
        <f t="shared" si="7"/>
        <v>-2830</v>
      </c>
      <c r="J19" s="233">
        <f t="shared" si="7"/>
        <v>-2830</v>
      </c>
      <c r="K19" s="398"/>
    </row>
    <row r="20" spans="1:11" s="29" customFormat="1" ht="30.75" customHeight="1">
      <c r="A20" s="265" t="s">
        <v>86</v>
      </c>
      <c r="B20" s="250">
        <v>1031</v>
      </c>
      <c r="C20" s="232" t="s">
        <v>197</v>
      </c>
      <c r="D20" s="232" t="s">
        <v>197</v>
      </c>
      <c r="E20" s="232" t="s">
        <v>197</v>
      </c>
      <c r="F20" s="232">
        <f t="shared" ref="F20:F72" si="8">SUM(G20:J20)</f>
        <v>0</v>
      </c>
      <c r="G20" s="232" t="s">
        <v>197</v>
      </c>
      <c r="H20" s="232" t="s">
        <v>197</v>
      </c>
      <c r="I20" s="232" t="s">
        <v>197</v>
      </c>
      <c r="J20" s="232" t="s">
        <v>197</v>
      </c>
      <c r="K20" s="399"/>
    </row>
    <row r="21" spans="1:11" s="29" customFormat="1" ht="30.75" customHeight="1">
      <c r="A21" s="265" t="s">
        <v>139</v>
      </c>
      <c r="B21" s="250">
        <v>1032</v>
      </c>
      <c r="C21" s="232" t="s">
        <v>197</v>
      </c>
      <c r="D21" s="232" t="s">
        <v>197</v>
      </c>
      <c r="E21" s="232" t="s">
        <v>197</v>
      </c>
      <c r="F21" s="232">
        <f t="shared" si="8"/>
        <v>0</v>
      </c>
      <c r="G21" s="232" t="s">
        <v>197</v>
      </c>
      <c r="H21" s="232" t="s">
        <v>197</v>
      </c>
      <c r="I21" s="232" t="s">
        <v>197</v>
      </c>
      <c r="J21" s="232" t="s">
        <v>197</v>
      </c>
      <c r="K21" s="399"/>
    </row>
    <row r="22" spans="1:11" s="29" customFormat="1" ht="30.75" customHeight="1">
      <c r="A22" s="265" t="s">
        <v>21</v>
      </c>
      <c r="B22" s="250">
        <v>1033</v>
      </c>
      <c r="C22" s="232" t="s">
        <v>197</v>
      </c>
      <c r="D22" s="232" t="s">
        <v>197</v>
      </c>
      <c r="E22" s="232" t="s">
        <v>197</v>
      </c>
      <c r="F22" s="232">
        <f t="shared" si="8"/>
        <v>0</v>
      </c>
      <c r="G22" s="232" t="s">
        <v>197</v>
      </c>
      <c r="H22" s="232" t="s">
        <v>197</v>
      </c>
      <c r="I22" s="232" t="s">
        <v>197</v>
      </c>
      <c r="J22" s="232" t="s">
        <v>197</v>
      </c>
      <c r="K22" s="399"/>
    </row>
    <row r="23" spans="1:11" s="29" customFormat="1" ht="30.75" customHeight="1">
      <c r="A23" s="265" t="s">
        <v>31</v>
      </c>
      <c r="B23" s="250">
        <v>1034</v>
      </c>
      <c r="C23" s="232" t="s">
        <v>197</v>
      </c>
      <c r="D23" s="232" t="s">
        <v>197</v>
      </c>
      <c r="E23" s="232" t="s">
        <v>197</v>
      </c>
      <c r="F23" s="232">
        <f t="shared" si="8"/>
        <v>0</v>
      </c>
      <c r="G23" s="232" t="s">
        <v>197</v>
      </c>
      <c r="H23" s="232" t="s">
        <v>197</v>
      </c>
      <c r="I23" s="232" t="s">
        <v>197</v>
      </c>
      <c r="J23" s="232" t="s">
        <v>197</v>
      </c>
      <c r="K23" s="399"/>
    </row>
    <row r="24" spans="1:11" s="29" customFormat="1" ht="30.75" customHeight="1">
      <c r="A24" s="265" t="s">
        <v>32</v>
      </c>
      <c r="B24" s="250">
        <v>1035</v>
      </c>
      <c r="C24" s="232">
        <v>-14</v>
      </c>
      <c r="D24" s="232">
        <v>-16</v>
      </c>
      <c r="E24" s="232">
        <f t="shared" si="3"/>
        <v>-16</v>
      </c>
      <c r="F24" s="232">
        <f t="shared" si="8"/>
        <v>-24</v>
      </c>
      <c r="G24" s="232">
        <v>-6</v>
      </c>
      <c r="H24" s="232">
        <v>-6</v>
      </c>
      <c r="I24" s="232">
        <v>-6</v>
      </c>
      <c r="J24" s="232">
        <v>-6</v>
      </c>
      <c r="K24" s="399"/>
    </row>
    <row r="25" spans="1:11" s="29" customFormat="1" ht="30.75" customHeight="1">
      <c r="A25" s="265" t="s">
        <v>33</v>
      </c>
      <c r="B25" s="250">
        <v>1036</v>
      </c>
      <c r="C25" s="232">
        <v>-5459</v>
      </c>
      <c r="D25" s="232">
        <v>-6580</v>
      </c>
      <c r="E25" s="232">
        <f t="shared" si="3"/>
        <v>-6580</v>
      </c>
      <c r="F25" s="232">
        <f t="shared" si="8"/>
        <v>-7800</v>
      </c>
      <c r="G25" s="232">
        <v>-1950</v>
      </c>
      <c r="H25" s="232">
        <v>-1950</v>
      </c>
      <c r="I25" s="232">
        <v>-1950</v>
      </c>
      <c r="J25" s="232">
        <v>-1950</v>
      </c>
      <c r="K25" s="400"/>
    </row>
    <row r="26" spans="1:11" s="29" customFormat="1" ht="30.75" customHeight="1">
      <c r="A26" s="265" t="s">
        <v>34</v>
      </c>
      <c r="B26" s="250">
        <v>1037</v>
      </c>
      <c r="C26" s="232">
        <v>-1011</v>
      </c>
      <c r="D26" s="232">
        <v>-1448</v>
      </c>
      <c r="E26" s="232">
        <f t="shared" si="3"/>
        <v>-1448</v>
      </c>
      <c r="F26" s="232">
        <f t="shared" si="8"/>
        <v>-1716</v>
      </c>
      <c r="G26" s="232">
        <f>ROUND(G25*0.22,0)</f>
        <v>-429</v>
      </c>
      <c r="H26" s="232">
        <f>ROUND(H25*0.22,0)</f>
        <v>-429</v>
      </c>
      <c r="I26" s="232">
        <f>ROUND(I25*0.22,0)</f>
        <v>-429</v>
      </c>
      <c r="J26" s="232">
        <f>ROUND(J25*0.22,0)</f>
        <v>-429</v>
      </c>
      <c r="K26" s="399"/>
    </row>
    <row r="27" spans="1:11" s="29" customFormat="1" ht="47.25" customHeight="1">
      <c r="A27" s="265" t="s">
        <v>35</v>
      </c>
      <c r="B27" s="266">
        <v>1038</v>
      </c>
      <c r="C27" s="232">
        <v>-44</v>
      </c>
      <c r="D27" s="232">
        <v>-48</v>
      </c>
      <c r="E27" s="232">
        <f t="shared" si="3"/>
        <v>-48</v>
      </c>
      <c r="F27" s="232">
        <f t="shared" si="8"/>
        <v>-68</v>
      </c>
      <c r="G27" s="232">
        <v>-17</v>
      </c>
      <c r="H27" s="232">
        <v>-17</v>
      </c>
      <c r="I27" s="232">
        <v>-17</v>
      </c>
      <c r="J27" s="232">
        <v>-17</v>
      </c>
      <c r="K27" s="399"/>
    </row>
    <row r="28" spans="1:11" s="29" customFormat="1" ht="51" customHeight="1">
      <c r="A28" s="265" t="s">
        <v>36</v>
      </c>
      <c r="B28" s="266">
        <v>1039</v>
      </c>
      <c r="C28" s="232" t="s">
        <v>197</v>
      </c>
      <c r="D28" s="232" t="s">
        <v>197</v>
      </c>
      <c r="E28" s="232" t="s">
        <v>197</v>
      </c>
      <c r="F28" s="232">
        <f t="shared" si="8"/>
        <v>0</v>
      </c>
      <c r="G28" s="232" t="s">
        <v>197</v>
      </c>
      <c r="H28" s="232" t="s">
        <v>197</v>
      </c>
      <c r="I28" s="232" t="s">
        <v>197</v>
      </c>
      <c r="J28" s="232" t="s">
        <v>197</v>
      </c>
      <c r="K28" s="399"/>
    </row>
    <row r="29" spans="1:11" s="29" customFormat="1" ht="30.75" customHeight="1">
      <c r="A29" s="265" t="s">
        <v>37</v>
      </c>
      <c r="B29" s="250">
        <v>1040</v>
      </c>
      <c r="C29" s="232" t="s">
        <v>197</v>
      </c>
      <c r="D29" s="232" t="s">
        <v>197</v>
      </c>
      <c r="E29" s="232" t="s">
        <v>197</v>
      </c>
      <c r="F29" s="232">
        <f t="shared" si="8"/>
        <v>0</v>
      </c>
      <c r="G29" s="232" t="s">
        <v>197</v>
      </c>
      <c r="H29" s="232" t="s">
        <v>197</v>
      </c>
      <c r="I29" s="232" t="s">
        <v>197</v>
      </c>
      <c r="J29" s="232" t="s">
        <v>197</v>
      </c>
      <c r="K29" s="399"/>
    </row>
    <row r="30" spans="1:11" s="29" customFormat="1" ht="30.75" customHeight="1">
      <c r="A30" s="265" t="s">
        <v>38</v>
      </c>
      <c r="B30" s="250">
        <v>1041</v>
      </c>
      <c r="C30" s="232" t="s">
        <v>197</v>
      </c>
      <c r="D30" s="232" t="s">
        <v>197</v>
      </c>
      <c r="E30" s="232" t="s">
        <v>197</v>
      </c>
      <c r="F30" s="232">
        <f t="shared" si="8"/>
        <v>0</v>
      </c>
      <c r="G30" s="232" t="s">
        <v>197</v>
      </c>
      <c r="H30" s="232" t="s">
        <v>197</v>
      </c>
      <c r="I30" s="232" t="s">
        <v>197</v>
      </c>
      <c r="J30" s="232" t="s">
        <v>197</v>
      </c>
      <c r="K30" s="399"/>
    </row>
    <row r="31" spans="1:11" s="29" customFormat="1" ht="30.75" customHeight="1">
      <c r="A31" s="265" t="s">
        <v>39</v>
      </c>
      <c r="B31" s="250">
        <v>1042</v>
      </c>
      <c r="C31" s="232">
        <v>-1</v>
      </c>
      <c r="D31" s="232" t="s">
        <v>197</v>
      </c>
      <c r="E31" s="232" t="s">
        <v>197</v>
      </c>
      <c r="F31" s="232">
        <f t="shared" si="8"/>
        <v>0</v>
      </c>
      <c r="G31" s="232" t="s">
        <v>197</v>
      </c>
      <c r="H31" s="232" t="s">
        <v>197</v>
      </c>
      <c r="I31" s="232" t="s">
        <v>197</v>
      </c>
      <c r="J31" s="232" t="s">
        <v>197</v>
      </c>
      <c r="K31" s="399"/>
    </row>
    <row r="32" spans="1:11" s="29" customFormat="1" ht="30.75" customHeight="1">
      <c r="A32" s="265" t="s">
        <v>55</v>
      </c>
      <c r="B32" s="250">
        <v>1043</v>
      </c>
      <c r="C32" s="232">
        <v>-51</v>
      </c>
      <c r="D32" s="232">
        <v>-48</v>
      </c>
      <c r="E32" s="232">
        <f t="shared" si="3"/>
        <v>-48</v>
      </c>
      <c r="F32" s="232">
        <f t="shared" si="8"/>
        <v>-60</v>
      </c>
      <c r="G32" s="232">
        <v>-15</v>
      </c>
      <c r="H32" s="232">
        <v>-15</v>
      </c>
      <c r="I32" s="232">
        <v>-15</v>
      </c>
      <c r="J32" s="232">
        <v>-15</v>
      </c>
      <c r="K32" s="399"/>
    </row>
    <row r="33" spans="1:11" s="29" customFormat="1" ht="30.75" customHeight="1">
      <c r="A33" s="265" t="s">
        <v>40</v>
      </c>
      <c r="B33" s="250">
        <v>1044</v>
      </c>
      <c r="C33" s="232" t="s">
        <v>197</v>
      </c>
      <c r="D33" s="232" t="s">
        <v>197</v>
      </c>
      <c r="E33" s="232" t="s">
        <v>197</v>
      </c>
      <c r="F33" s="232">
        <f t="shared" si="8"/>
        <v>0</v>
      </c>
      <c r="G33" s="232" t="s">
        <v>197</v>
      </c>
      <c r="H33" s="232" t="s">
        <v>197</v>
      </c>
      <c r="I33" s="232" t="s">
        <v>197</v>
      </c>
      <c r="J33" s="232" t="s">
        <v>197</v>
      </c>
      <c r="K33" s="399"/>
    </row>
    <row r="34" spans="1:11" s="29" customFormat="1" ht="30.75" customHeight="1">
      <c r="A34" s="265" t="s">
        <v>41</v>
      </c>
      <c r="B34" s="250">
        <v>1045</v>
      </c>
      <c r="C34" s="232" t="s">
        <v>197</v>
      </c>
      <c r="D34" s="232" t="s">
        <v>197</v>
      </c>
      <c r="E34" s="232" t="s">
        <v>197</v>
      </c>
      <c r="F34" s="232">
        <f t="shared" si="8"/>
        <v>0</v>
      </c>
      <c r="G34" s="232" t="s">
        <v>197</v>
      </c>
      <c r="H34" s="232" t="s">
        <v>197</v>
      </c>
      <c r="I34" s="232" t="s">
        <v>197</v>
      </c>
      <c r="J34" s="232" t="s">
        <v>197</v>
      </c>
      <c r="K34" s="399"/>
    </row>
    <row r="35" spans="1:11" s="29" customFormat="1" ht="30.75" customHeight="1">
      <c r="A35" s="265" t="s">
        <v>42</v>
      </c>
      <c r="B35" s="250">
        <v>1046</v>
      </c>
      <c r="C35" s="232" t="s">
        <v>197</v>
      </c>
      <c r="D35" s="232" t="s">
        <v>197</v>
      </c>
      <c r="E35" s="232" t="s">
        <v>197</v>
      </c>
      <c r="F35" s="232">
        <f t="shared" si="8"/>
        <v>0</v>
      </c>
      <c r="G35" s="232" t="s">
        <v>197</v>
      </c>
      <c r="H35" s="232" t="s">
        <v>197</v>
      </c>
      <c r="I35" s="232" t="s">
        <v>197</v>
      </c>
      <c r="J35" s="232" t="s">
        <v>197</v>
      </c>
      <c r="K35" s="399"/>
    </row>
    <row r="36" spans="1:11" s="29" customFormat="1" ht="30.75" customHeight="1">
      <c r="A36" s="265" t="s">
        <v>43</v>
      </c>
      <c r="B36" s="250">
        <v>1047</v>
      </c>
      <c r="C36" s="232" t="s">
        <v>197</v>
      </c>
      <c r="D36" s="232" t="s">
        <v>197</v>
      </c>
      <c r="E36" s="232" t="s">
        <v>197</v>
      </c>
      <c r="F36" s="232">
        <f t="shared" si="8"/>
        <v>0</v>
      </c>
      <c r="G36" s="232" t="s">
        <v>197</v>
      </c>
      <c r="H36" s="232" t="s">
        <v>197</v>
      </c>
      <c r="I36" s="232" t="s">
        <v>197</v>
      </c>
      <c r="J36" s="232" t="s">
        <v>197</v>
      </c>
      <c r="K36" s="399"/>
    </row>
    <row r="37" spans="1:11" s="29" customFormat="1" ht="51" customHeight="1">
      <c r="A37" s="265" t="s">
        <v>67</v>
      </c>
      <c r="B37" s="250">
        <v>1048</v>
      </c>
      <c r="C37" s="232">
        <v>-34</v>
      </c>
      <c r="D37" s="232">
        <v>-24</v>
      </c>
      <c r="E37" s="232">
        <f t="shared" si="3"/>
        <v>-24</v>
      </c>
      <c r="F37" s="232">
        <f t="shared" si="8"/>
        <v>-52</v>
      </c>
      <c r="G37" s="232">
        <v>-13</v>
      </c>
      <c r="H37" s="232">
        <v>-13</v>
      </c>
      <c r="I37" s="232">
        <v>-13</v>
      </c>
      <c r="J37" s="232">
        <v>-13</v>
      </c>
      <c r="K37" s="399"/>
    </row>
    <row r="38" spans="1:11" s="29" customFormat="1" ht="30.75" customHeight="1">
      <c r="A38" s="265" t="s">
        <v>44</v>
      </c>
      <c r="B38" s="250" t="s">
        <v>394</v>
      </c>
      <c r="C38" s="232" t="s">
        <v>514</v>
      </c>
      <c r="D38" s="232">
        <v>-24</v>
      </c>
      <c r="E38" s="232">
        <f t="shared" si="3"/>
        <v>-24</v>
      </c>
      <c r="F38" s="232">
        <f t="shared" si="8"/>
        <v>-52</v>
      </c>
      <c r="G38" s="232">
        <v>-13</v>
      </c>
      <c r="H38" s="232">
        <v>-13</v>
      </c>
      <c r="I38" s="232">
        <v>-13</v>
      </c>
      <c r="J38" s="232">
        <v>-13</v>
      </c>
      <c r="K38" s="399"/>
    </row>
    <row r="39" spans="1:11" s="29" customFormat="1" ht="30.75" customHeight="1">
      <c r="A39" s="265" t="s">
        <v>88</v>
      </c>
      <c r="B39" s="250">
        <v>1049</v>
      </c>
      <c r="C39" s="232">
        <f>'Розшифровка до Формування'!C46</f>
        <v>-1213</v>
      </c>
      <c r="D39" s="232">
        <f>'Розшифровка до Формування'!D46</f>
        <v>-1228</v>
      </c>
      <c r="E39" s="232">
        <f>'Розшифровка до Формування'!E46</f>
        <v>-1228</v>
      </c>
      <c r="F39" s="232">
        <f t="shared" si="8"/>
        <v>-1600</v>
      </c>
      <c r="G39" s="232">
        <f>'Розшифровка до Формування'!G46</f>
        <v>-400</v>
      </c>
      <c r="H39" s="232">
        <f>'Розшифровка до Формування'!H46</f>
        <v>-400</v>
      </c>
      <c r="I39" s="232">
        <f>'Розшифровка до Формування'!I46</f>
        <v>-400</v>
      </c>
      <c r="J39" s="232">
        <f>'Розшифровка до Формування'!J46</f>
        <v>-400</v>
      </c>
      <c r="K39" s="399"/>
    </row>
    <row r="40" spans="1:11" s="29" customFormat="1" ht="30.75" customHeight="1">
      <c r="A40" s="292" t="s">
        <v>150</v>
      </c>
      <c r="B40" s="433">
        <v>1060</v>
      </c>
      <c r="C40" s="233">
        <f>SUM(C41:C47)</f>
        <v>0</v>
      </c>
      <c r="D40" s="233">
        <v>0</v>
      </c>
      <c r="E40" s="233">
        <f t="shared" si="3"/>
        <v>0</v>
      </c>
      <c r="F40" s="233">
        <f t="shared" si="8"/>
        <v>0</v>
      </c>
      <c r="G40" s="233">
        <f t="shared" ref="G40:J40" si="9">SUM(G41:G47)</f>
        <v>0</v>
      </c>
      <c r="H40" s="233">
        <f t="shared" si="9"/>
        <v>0</v>
      </c>
      <c r="I40" s="233">
        <f t="shared" si="9"/>
        <v>0</v>
      </c>
      <c r="J40" s="233">
        <f t="shared" si="9"/>
        <v>0</v>
      </c>
      <c r="K40" s="398"/>
    </row>
    <row r="41" spans="1:11" s="29" customFormat="1" ht="30.75" customHeight="1">
      <c r="A41" s="265" t="s">
        <v>121</v>
      </c>
      <c r="B41" s="250">
        <v>1061</v>
      </c>
      <c r="C41" s="232" t="s">
        <v>197</v>
      </c>
      <c r="D41" s="232" t="s">
        <v>197</v>
      </c>
      <c r="E41" s="232" t="s">
        <v>197</v>
      </c>
      <c r="F41" s="232">
        <f t="shared" si="8"/>
        <v>0</v>
      </c>
      <c r="G41" s="232" t="s">
        <v>197</v>
      </c>
      <c r="H41" s="232" t="s">
        <v>197</v>
      </c>
      <c r="I41" s="232" t="s">
        <v>197</v>
      </c>
      <c r="J41" s="232" t="s">
        <v>197</v>
      </c>
      <c r="K41" s="399"/>
    </row>
    <row r="42" spans="1:11" s="29" customFormat="1" ht="30.75" customHeight="1">
      <c r="A42" s="265" t="s">
        <v>122</v>
      </c>
      <c r="B42" s="250">
        <v>1062</v>
      </c>
      <c r="C42" s="232" t="s">
        <v>197</v>
      </c>
      <c r="D42" s="232" t="s">
        <v>197</v>
      </c>
      <c r="E42" s="232" t="s">
        <v>197</v>
      </c>
      <c r="F42" s="232">
        <f t="shared" si="8"/>
        <v>0</v>
      </c>
      <c r="G42" s="232" t="s">
        <v>197</v>
      </c>
      <c r="H42" s="232" t="s">
        <v>197</v>
      </c>
      <c r="I42" s="232" t="s">
        <v>197</v>
      </c>
      <c r="J42" s="232" t="s">
        <v>197</v>
      </c>
      <c r="K42" s="399"/>
    </row>
    <row r="43" spans="1:11" s="29" customFormat="1" ht="30.75" customHeight="1">
      <c r="A43" s="265" t="s">
        <v>33</v>
      </c>
      <c r="B43" s="250">
        <v>1063</v>
      </c>
      <c r="C43" s="232" t="s">
        <v>197</v>
      </c>
      <c r="D43" s="232" t="s">
        <v>197</v>
      </c>
      <c r="E43" s="232" t="s">
        <v>197</v>
      </c>
      <c r="F43" s="232">
        <f t="shared" si="8"/>
        <v>0</v>
      </c>
      <c r="G43" s="232" t="s">
        <v>197</v>
      </c>
      <c r="H43" s="232" t="s">
        <v>197</v>
      </c>
      <c r="I43" s="232" t="s">
        <v>197</v>
      </c>
      <c r="J43" s="232" t="s">
        <v>197</v>
      </c>
      <c r="K43" s="399"/>
    </row>
    <row r="44" spans="1:11" s="29" customFormat="1" ht="30.75" customHeight="1">
      <c r="A44" s="265" t="s">
        <v>34</v>
      </c>
      <c r="B44" s="250">
        <v>1064</v>
      </c>
      <c r="C44" s="232" t="s">
        <v>197</v>
      </c>
      <c r="D44" s="232" t="s">
        <v>197</v>
      </c>
      <c r="E44" s="232" t="s">
        <v>197</v>
      </c>
      <c r="F44" s="232">
        <f t="shared" si="8"/>
        <v>0</v>
      </c>
      <c r="G44" s="232" t="s">
        <v>197</v>
      </c>
      <c r="H44" s="232" t="s">
        <v>197</v>
      </c>
      <c r="I44" s="232" t="s">
        <v>197</v>
      </c>
      <c r="J44" s="232" t="s">
        <v>197</v>
      </c>
      <c r="K44" s="399"/>
    </row>
    <row r="45" spans="1:11" s="29" customFormat="1" ht="30.75" customHeight="1">
      <c r="A45" s="265" t="s">
        <v>54</v>
      </c>
      <c r="B45" s="250">
        <v>1065</v>
      </c>
      <c r="C45" s="232" t="s">
        <v>197</v>
      </c>
      <c r="D45" s="232" t="s">
        <v>197</v>
      </c>
      <c r="E45" s="232" t="s">
        <v>197</v>
      </c>
      <c r="F45" s="232">
        <f t="shared" si="8"/>
        <v>0</v>
      </c>
      <c r="G45" s="232" t="s">
        <v>197</v>
      </c>
      <c r="H45" s="232" t="s">
        <v>197</v>
      </c>
      <c r="I45" s="232" t="s">
        <v>197</v>
      </c>
      <c r="J45" s="232" t="s">
        <v>197</v>
      </c>
      <c r="K45" s="399"/>
    </row>
    <row r="46" spans="1:11" s="29" customFormat="1" ht="30.75" customHeight="1">
      <c r="A46" s="265" t="s">
        <v>70</v>
      </c>
      <c r="B46" s="250">
        <v>1066</v>
      </c>
      <c r="C46" s="232" t="s">
        <v>197</v>
      </c>
      <c r="D46" s="232" t="s">
        <v>197</v>
      </c>
      <c r="E46" s="232" t="s">
        <v>197</v>
      </c>
      <c r="F46" s="232">
        <f t="shared" si="8"/>
        <v>0</v>
      </c>
      <c r="G46" s="232" t="s">
        <v>197</v>
      </c>
      <c r="H46" s="232" t="s">
        <v>197</v>
      </c>
      <c r="I46" s="232" t="s">
        <v>197</v>
      </c>
      <c r="J46" s="232" t="s">
        <v>197</v>
      </c>
      <c r="K46" s="399"/>
    </row>
    <row r="47" spans="1:11" s="29" customFormat="1" ht="30.75" customHeight="1">
      <c r="A47" s="265" t="s">
        <v>95</v>
      </c>
      <c r="B47" s="250">
        <v>1067</v>
      </c>
      <c r="C47" s="232" t="s">
        <v>197</v>
      </c>
      <c r="D47" s="232" t="s">
        <v>197</v>
      </c>
      <c r="E47" s="232" t="s">
        <v>197</v>
      </c>
      <c r="F47" s="232">
        <f>SUM(G47:J47)</f>
        <v>0</v>
      </c>
      <c r="G47" s="232" t="s">
        <v>197</v>
      </c>
      <c r="H47" s="232" t="s">
        <v>197</v>
      </c>
      <c r="I47" s="232" t="s">
        <v>197</v>
      </c>
      <c r="J47" s="232" t="s">
        <v>197</v>
      </c>
      <c r="K47" s="399"/>
    </row>
    <row r="48" spans="1:11" s="29" customFormat="1" ht="30.75" customHeight="1">
      <c r="A48" s="292" t="s">
        <v>241</v>
      </c>
      <c r="B48" s="433">
        <v>1070</v>
      </c>
      <c r="C48" s="233">
        <f>SUM(C49:C51)</f>
        <v>276</v>
      </c>
      <c r="D48" s="233">
        <f t="shared" ref="D48:E48" si="10">SUM(D49:D51)</f>
        <v>0</v>
      </c>
      <c r="E48" s="233">
        <f t="shared" si="10"/>
        <v>0</v>
      </c>
      <c r="F48" s="233">
        <f t="shared" si="8"/>
        <v>0</v>
      </c>
      <c r="G48" s="233">
        <f t="shared" ref="G48" si="11">SUM(G49:G51)</f>
        <v>0</v>
      </c>
      <c r="H48" s="233">
        <f t="shared" ref="H48" si="12">SUM(H49:H51)</f>
        <v>0</v>
      </c>
      <c r="I48" s="233">
        <f t="shared" ref="I48" si="13">SUM(I49:I51)</f>
        <v>0</v>
      </c>
      <c r="J48" s="233">
        <f t="shared" ref="J48" si="14">SUM(J49:J51)</f>
        <v>0</v>
      </c>
      <c r="K48" s="398"/>
    </row>
    <row r="49" spans="1:11" s="29" customFormat="1" ht="30.75" customHeight="1">
      <c r="A49" s="265" t="s">
        <v>146</v>
      </c>
      <c r="B49" s="250">
        <v>1071</v>
      </c>
      <c r="C49" s="232">
        <v>0</v>
      </c>
      <c r="D49" s="232">
        <v>0</v>
      </c>
      <c r="E49" s="233">
        <f t="shared" si="3"/>
        <v>0</v>
      </c>
      <c r="F49" s="232">
        <f t="shared" ref="F49:F56" si="15">SUM(G49:J49)</f>
        <v>0</v>
      </c>
      <c r="G49" s="232">
        <v>0</v>
      </c>
      <c r="H49" s="232">
        <v>0</v>
      </c>
      <c r="I49" s="232">
        <v>0</v>
      </c>
      <c r="J49" s="232">
        <v>0</v>
      </c>
      <c r="K49" s="399"/>
    </row>
    <row r="50" spans="1:11" s="29" customFormat="1" ht="30.75" customHeight="1">
      <c r="A50" s="265" t="s">
        <v>242</v>
      </c>
      <c r="B50" s="250">
        <v>1072</v>
      </c>
      <c r="C50" s="232">
        <v>0</v>
      </c>
      <c r="D50" s="232">
        <v>0</v>
      </c>
      <c r="E50" s="233">
        <f t="shared" si="3"/>
        <v>0</v>
      </c>
      <c r="F50" s="232">
        <f t="shared" si="15"/>
        <v>0</v>
      </c>
      <c r="G50" s="232">
        <v>0</v>
      </c>
      <c r="H50" s="232">
        <v>0</v>
      </c>
      <c r="I50" s="232">
        <v>0</v>
      </c>
      <c r="J50" s="232">
        <v>0</v>
      </c>
      <c r="K50" s="399"/>
    </row>
    <row r="51" spans="1:11" s="29" customFormat="1" ht="30.75" customHeight="1">
      <c r="A51" s="265" t="s">
        <v>243</v>
      </c>
      <c r="B51" s="250">
        <v>1073</v>
      </c>
      <c r="C51" s="232">
        <f>'Розшифровка до Формування'!C61</f>
        <v>276</v>
      </c>
      <c r="D51" s="232">
        <f>'Розшифровка до Формування'!D61</f>
        <v>0</v>
      </c>
      <c r="E51" s="232">
        <f>'Розшифровка до Формування'!E61</f>
        <v>0</v>
      </c>
      <c r="F51" s="232">
        <f t="shared" si="15"/>
        <v>0</v>
      </c>
      <c r="G51" s="232">
        <f>'Розшифровка до Формування'!G61</f>
        <v>0</v>
      </c>
      <c r="H51" s="232">
        <f>'Розшифровка до Формування'!H61</f>
        <v>0</v>
      </c>
      <c r="I51" s="232">
        <f>'Розшифровка до Формування'!I61</f>
        <v>0</v>
      </c>
      <c r="J51" s="232">
        <f>'Розшифровка до Формування'!J61</f>
        <v>0</v>
      </c>
      <c r="K51" s="399"/>
    </row>
    <row r="52" spans="1:11" s="29" customFormat="1" ht="30.75" customHeight="1">
      <c r="A52" s="292" t="s">
        <v>72</v>
      </c>
      <c r="B52" s="433">
        <v>1080</v>
      </c>
      <c r="C52" s="233">
        <f>SUM(C53:C58)</f>
        <v>-5</v>
      </c>
      <c r="D52" s="233">
        <f t="shared" ref="D52:G52" si="16">SUM(D53:D58)</f>
        <v>0</v>
      </c>
      <c r="E52" s="233">
        <f t="shared" si="16"/>
        <v>0</v>
      </c>
      <c r="F52" s="233">
        <f t="shared" si="8"/>
        <v>-36</v>
      </c>
      <c r="G52" s="233">
        <f t="shared" si="16"/>
        <v>-9</v>
      </c>
      <c r="H52" s="233">
        <f t="shared" ref="H52" si="17">SUM(H53:H58)</f>
        <v>-9</v>
      </c>
      <c r="I52" s="233">
        <f t="shared" ref="I52" si="18">SUM(I53:I58)</f>
        <v>-9</v>
      </c>
      <c r="J52" s="233">
        <f t="shared" ref="J52" si="19">SUM(J53:J58)</f>
        <v>-9</v>
      </c>
      <c r="K52" s="398"/>
    </row>
    <row r="53" spans="1:11" s="29" customFormat="1" ht="30.75" customHeight="1">
      <c r="A53" s="265" t="s">
        <v>146</v>
      </c>
      <c r="B53" s="250">
        <v>1081</v>
      </c>
      <c r="C53" s="232" t="s">
        <v>197</v>
      </c>
      <c r="D53" s="232" t="s">
        <v>197</v>
      </c>
      <c r="E53" s="232" t="s">
        <v>197</v>
      </c>
      <c r="F53" s="232">
        <f t="shared" si="15"/>
        <v>0</v>
      </c>
      <c r="G53" s="232" t="s">
        <v>197</v>
      </c>
      <c r="H53" s="232" t="s">
        <v>197</v>
      </c>
      <c r="I53" s="232" t="s">
        <v>197</v>
      </c>
      <c r="J53" s="232" t="s">
        <v>197</v>
      </c>
      <c r="K53" s="399"/>
    </row>
    <row r="54" spans="1:11" s="29" customFormat="1" ht="30.75" customHeight="1">
      <c r="A54" s="265" t="s">
        <v>244</v>
      </c>
      <c r="B54" s="250">
        <v>1082</v>
      </c>
      <c r="C54" s="232" t="s">
        <v>197</v>
      </c>
      <c r="D54" s="232" t="s">
        <v>197</v>
      </c>
      <c r="E54" s="232" t="s">
        <v>197</v>
      </c>
      <c r="F54" s="232">
        <f t="shared" si="15"/>
        <v>0</v>
      </c>
      <c r="G54" s="232" t="s">
        <v>197</v>
      </c>
      <c r="H54" s="232" t="s">
        <v>197</v>
      </c>
      <c r="I54" s="232" t="s">
        <v>197</v>
      </c>
      <c r="J54" s="232" t="s">
        <v>197</v>
      </c>
      <c r="K54" s="399"/>
    </row>
    <row r="55" spans="1:11" s="29" customFormat="1" ht="30.75" customHeight="1">
      <c r="A55" s="265" t="s">
        <v>61</v>
      </c>
      <c r="B55" s="250">
        <v>1083</v>
      </c>
      <c r="C55" s="232" t="s">
        <v>197</v>
      </c>
      <c r="D55" s="232" t="s">
        <v>197</v>
      </c>
      <c r="E55" s="232" t="s">
        <v>197</v>
      </c>
      <c r="F55" s="232">
        <f t="shared" si="15"/>
        <v>0</v>
      </c>
      <c r="G55" s="232" t="s">
        <v>197</v>
      </c>
      <c r="H55" s="232" t="s">
        <v>197</v>
      </c>
      <c r="I55" s="232" t="s">
        <v>197</v>
      </c>
      <c r="J55" s="232" t="s">
        <v>197</v>
      </c>
      <c r="K55" s="399"/>
    </row>
    <row r="56" spans="1:11" s="29" customFormat="1" ht="30.75" customHeight="1">
      <c r="A56" s="265" t="s">
        <v>45</v>
      </c>
      <c r="B56" s="250">
        <v>1084</v>
      </c>
      <c r="C56" s="232" t="s">
        <v>197</v>
      </c>
      <c r="D56" s="232" t="s">
        <v>197</v>
      </c>
      <c r="E56" s="232" t="s">
        <v>197</v>
      </c>
      <c r="F56" s="232">
        <f t="shared" si="15"/>
        <v>0</v>
      </c>
      <c r="G56" s="232" t="s">
        <v>197</v>
      </c>
      <c r="H56" s="232" t="s">
        <v>197</v>
      </c>
      <c r="I56" s="232" t="s">
        <v>197</v>
      </c>
      <c r="J56" s="232" t="s">
        <v>197</v>
      </c>
      <c r="K56" s="399"/>
    </row>
    <row r="57" spans="1:11" s="29" customFormat="1" ht="30.75" customHeight="1">
      <c r="A57" s="265" t="s">
        <v>53</v>
      </c>
      <c r="B57" s="250">
        <v>1085</v>
      </c>
      <c r="C57" s="232" t="s">
        <v>197</v>
      </c>
      <c r="D57" s="232" t="s">
        <v>197</v>
      </c>
      <c r="E57" s="232" t="s">
        <v>197</v>
      </c>
      <c r="F57" s="232">
        <f t="shared" si="8"/>
        <v>0</v>
      </c>
      <c r="G57" s="232" t="s">
        <v>197</v>
      </c>
      <c r="H57" s="232" t="s">
        <v>197</v>
      </c>
      <c r="I57" s="232" t="s">
        <v>197</v>
      </c>
      <c r="J57" s="232" t="s">
        <v>197</v>
      </c>
      <c r="K57" s="399"/>
    </row>
    <row r="58" spans="1:11" s="29" customFormat="1" ht="30.75" customHeight="1">
      <c r="A58" s="265" t="s">
        <v>159</v>
      </c>
      <c r="B58" s="250">
        <v>1086</v>
      </c>
      <c r="C58" s="232">
        <f>'Розшифровка до Формування'!C71</f>
        <v>-5</v>
      </c>
      <c r="D58" s="232">
        <f>'Розшифровка до Формування'!D71</f>
        <v>0</v>
      </c>
      <c r="E58" s="232">
        <f>'Розшифровка до Формування'!E71</f>
        <v>0</v>
      </c>
      <c r="F58" s="232">
        <f t="shared" si="8"/>
        <v>-36</v>
      </c>
      <c r="G58" s="232">
        <f>'Розшифровка до Формування'!G71</f>
        <v>-9</v>
      </c>
      <c r="H58" s="232">
        <f>'Розшифровка до Формування'!H71</f>
        <v>-9</v>
      </c>
      <c r="I58" s="232">
        <f>'Розшифровка до Формування'!I71</f>
        <v>-9</v>
      </c>
      <c r="J58" s="232">
        <f>'Розшифровка до Формування'!J71</f>
        <v>-9</v>
      </c>
      <c r="K58" s="399"/>
    </row>
    <row r="59" spans="1:11" s="415" customFormat="1" ht="29.25" customHeight="1">
      <c r="A59" s="292" t="s">
        <v>4</v>
      </c>
      <c r="B59" s="309">
        <v>1100</v>
      </c>
      <c r="C59" s="233">
        <f t="shared" ref="C59:J59" si="20">SUM(C18,C19,C40,C48,C52)</f>
        <v>2650</v>
      </c>
      <c r="D59" s="233">
        <f t="shared" si="20"/>
        <v>8416</v>
      </c>
      <c r="E59" s="233">
        <f t="shared" si="20"/>
        <v>8416</v>
      </c>
      <c r="F59" s="233">
        <f t="shared" si="20"/>
        <v>4974</v>
      </c>
      <c r="G59" s="233">
        <f t="shared" si="20"/>
        <v>1408</v>
      </c>
      <c r="H59" s="233">
        <f t="shared" si="20"/>
        <v>1408</v>
      </c>
      <c r="I59" s="233">
        <f t="shared" si="20"/>
        <v>1079</v>
      </c>
      <c r="J59" s="233">
        <f t="shared" si="20"/>
        <v>1079</v>
      </c>
      <c r="K59" s="398"/>
    </row>
    <row r="60" spans="1:11" s="29" customFormat="1" ht="30.75" customHeight="1">
      <c r="A60" s="265" t="s">
        <v>87</v>
      </c>
      <c r="B60" s="250">
        <v>1110</v>
      </c>
      <c r="C60" s="232"/>
      <c r="D60" s="232"/>
      <c r="E60" s="233">
        <f t="shared" si="3"/>
        <v>0</v>
      </c>
      <c r="F60" s="232">
        <f t="shared" si="8"/>
        <v>0</v>
      </c>
      <c r="G60" s="232"/>
      <c r="H60" s="232"/>
      <c r="I60" s="232"/>
      <c r="J60" s="232"/>
      <c r="K60" s="399"/>
    </row>
    <row r="61" spans="1:11" s="29" customFormat="1" ht="30.75" customHeight="1">
      <c r="A61" s="265" t="s">
        <v>89</v>
      </c>
      <c r="B61" s="250">
        <v>1120</v>
      </c>
      <c r="C61" s="232" t="s">
        <v>197</v>
      </c>
      <c r="D61" s="232" t="s">
        <v>197</v>
      </c>
      <c r="E61" s="232" t="str">
        <f t="shared" si="3"/>
        <v>(    )</v>
      </c>
      <c r="F61" s="232">
        <f>SUM(G61:J61)</f>
        <v>0</v>
      </c>
      <c r="G61" s="232" t="s">
        <v>197</v>
      </c>
      <c r="H61" s="232" t="s">
        <v>197</v>
      </c>
      <c r="I61" s="232" t="s">
        <v>197</v>
      </c>
      <c r="J61" s="232" t="s">
        <v>197</v>
      </c>
      <c r="K61" s="399"/>
    </row>
    <row r="62" spans="1:11" s="29" customFormat="1" ht="30.75" customHeight="1">
      <c r="A62" s="292" t="s">
        <v>518</v>
      </c>
      <c r="B62" s="433">
        <v>1130</v>
      </c>
      <c r="C62" s="233"/>
      <c r="D62" s="233"/>
      <c r="E62" s="233">
        <f t="shared" si="3"/>
        <v>0</v>
      </c>
      <c r="F62" s="233">
        <f t="shared" si="8"/>
        <v>0</v>
      </c>
      <c r="G62" s="233"/>
      <c r="H62" s="233"/>
      <c r="I62" s="233"/>
      <c r="J62" s="233"/>
      <c r="K62" s="398"/>
    </row>
    <row r="63" spans="1:11" s="29" customFormat="1" ht="42.75" customHeight="1">
      <c r="A63" s="292" t="s">
        <v>629</v>
      </c>
      <c r="B63" s="433">
        <v>1140</v>
      </c>
      <c r="C63" s="233">
        <v>-833</v>
      </c>
      <c r="D63" s="233">
        <v>-561</v>
      </c>
      <c r="E63" s="233">
        <f t="shared" si="3"/>
        <v>-561</v>
      </c>
      <c r="F63" s="233">
        <f>SUM(G63:J63)</f>
        <v>-262</v>
      </c>
      <c r="G63" s="233">
        <f>-ROUND(кредити!AK94/1000,0)-13</f>
        <v>-96</v>
      </c>
      <c r="H63" s="233">
        <f>-ROUND(кредити!AK98/1000,0)</f>
        <v>-70</v>
      </c>
      <c r="I63" s="233">
        <f>-ROUND(кредити!AK102/1000,0)</f>
        <v>-55</v>
      </c>
      <c r="J63" s="233">
        <f>-ROUND(кредити!AK106/1000,0)</f>
        <v>-41</v>
      </c>
      <c r="K63" s="398"/>
    </row>
    <row r="64" spans="1:11" s="29" customFormat="1" ht="30.75" customHeight="1">
      <c r="A64" s="292" t="s">
        <v>203</v>
      </c>
      <c r="B64" s="433">
        <v>1150</v>
      </c>
      <c r="C64" s="233">
        <f>SUM(C65:C66)</f>
        <v>528</v>
      </c>
      <c r="D64" s="233">
        <f t="shared" ref="D64:I64" si="21">SUM(D65:D66)</f>
        <v>528</v>
      </c>
      <c r="E64" s="233">
        <f t="shared" si="21"/>
        <v>528</v>
      </c>
      <c r="F64" s="233">
        <f t="shared" si="8"/>
        <v>528</v>
      </c>
      <c r="G64" s="233">
        <f t="shared" si="21"/>
        <v>132</v>
      </c>
      <c r="H64" s="233">
        <f t="shared" si="21"/>
        <v>132</v>
      </c>
      <c r="I64" s="233">
        <f t="shared" si="21"/>
        <v>132</v>
      </c>
      <c r="J64" s="233">
        <f>SUM(J65:J66)</f>
        <v>132</v>
      </c>
      <c r="K64" s="398"/>
    </row>
    <row r="65" spans="1:11" s="29" customFormat="1" ht="30.75" customHeight="1">
      <c r="A65" s="265" t="s">
        <v>146</v>
      </c>
      <c r="B65" s="250">
        <v>1151</v>
      </c>
      <c r="C65" s="232"/>
      <c r="D65" s="232"/>
      <c r="E65" s="233">
        <f t="shared" si="3"/>
        <v>0</v>
      </c>
      <c r="F65" s="232">
        <f t="shared" si="8"/>
        <v>0</v>
      </c>
      <c r="G65" s="232"/>
      <c r="H65" s="232"/>
      <c r="I65" s="232"/>
      <c r="J65" s="232"/>
      <c r="K65" s="399"/>
    </row>
    <row r="66" spans="1:11" s="29" customFormat="1" ht="51.75" customHeight="1">
      <c r="A66" s="265" t="s">
        <v>670</v>
      </c>
      <c r="B66" s="250">
        <v>1152</v>
      </c>
      <c r="C66" s="232">
        <v>528</v>
      </c>
      <c r="D66" s="232">
        <v>528</v>
      </c>
      <c r="E66" s="232">
        <f t="shared" si="3"/>
        <v>528</v>
      </c>
      <c r="F66" s="232">
        <f t="shared" si="8"/>
        <v>528</v>
      </c>
      <c r="G66" s="232">
        <v>132</v>
      </c>
      <c r="H66" s="232">
        <v>132</v>
      </c>
      <c r="I66" s="232">
        <v>132</v>
      </c>
      <c r="J66" s="232">
        <v>132</v>
      </c>
      <c r="K66" s="399"/>
    </row>
    <row r="67" spans="1:11" s="29" customFormat="1" ht="30.75" customHeight="1">
      <c r="A67" s="292" t="s">
        <v>245</v>
      </c>
      <c r="B67" s="433">
        <v>1160</v>
      </c>
      <c r="C67" s="233">
        <f>SUM(C68:C69)</f>
        <v>-46</v>
      </c>
      <c r="D67" s="233">
        <f t="shared" ref="D67:E67" si="22">SUM(D68:D69)</f>
        <v>0</v>
      </c>
      <c r="E67" s="233">
        <f t="shared" si="22"/>
        <v>0</v>
      </c>
      <c r="F67" s="233">
        <f t="shared" si="8"/>
        <v>-36</v>
      </c>
      <c r="G67" s="233">
        <f t="shared" ref="G67" si="23">SUM(G68:G69)</f>
        <v>-9</v>
      </c>
      <c r="H67" s="233">
        <f t="shared" ref="H67" si="24">SUM(H68:H69)</f>
        <v>-9</v>
      </c>
      <c r="I67" s="233">
        <f t="shared" ref="I67" si="25">SUM(I68:I69)</f>
        <v>-9</v>
      </c>
      <c r="J67" s="233">
        <f t="shared" ref="J67" si="26">SUM(J68:J69)</f>
        <v>-9</v>
      </c>
      <c r="K67" s="398"/>
    </row>
    <row r="68" spans="1:11" s="29" customFormat="1" ht="30.75" customHeight="1">
      <c r="A68" s="265" t="s">
        <v>146</v>
      </c>
      <c r="B68" s="250">
        <v>1161</v>
      </c>
      <c r="C68" s="232" t="s">
        <v>197</v>
      </c>
      <c r="D68" s="232" t="s">
        <v>197</v>
      </c>
      <c r="E68" s="232" t="str">
        <f t="shared" si="3"/>
        <v>(    )</v>
      </c>
      <c r="F68" s="232">
        <f>SUM(G68:J68)</f>
        <v>0</v>
      </c>
      <c r="G68" s="232" t="s">
        <v>197</v>
      </c>
      <c r="H68" s="232" t="s">
        <v>197</v>
      </c>
      <c r="I68" s="232" t="s">
        <v>197</v>
      </c>
      <c r="J68" s="232" t="s">
        <v>197</v>
      </c>
      <c r="K68" s="399"/>
    </row>
    <row r="69" spans="1:11" s="29" customFormat="1" ht="30.75" customHeight="1">
      <c r="A69" s="265" t="s">
        <v>94</v>
      </c>
      <c r="B69" s="250">
        <v>1162</v>
      </c>
      <c r="C69" s="232">
        <f>'Розшифровка до Формування'!C83</f>
        <v>-46</v>
      </c>
      <c r="D69" s="232">
        <f>'Розшифровка до Формування'!D83</f>
        <v>0</v>
      </c>
      <c r="E69" s="232">
        <f>'Розшифровка до Формування'!E83</f>
        <v>0</v>
      </c>
      <c r="F69" s="232">
        <f>SUM(G69:J69)</f>
        <v>-36</v>
      </c>
      <c r="G69" s="232">
        <f>'Розшифровка до Формування'!G83</f>
        <v>-9</v>
      </c>
      <c r="H69" s="232">
        <f>'Розшифровка до Формування'!H83</f>
        <v>-9</v>
      </c>
      <c r="I69" s="232">
        <f>'Розшифровка до Формування'!I83</f>
        <v>-9</v>
      </c>
      <c r="J69" s="232">
        <f>'Розшифровка до Формування'!J83</f>
        <v>-9</v>
      </c>
      <c r="K69" s="399"/>
    </row>
    <row r="70" spans="1:11" s="415" customFormat="1" ht="29.25" customHeight="1">
      <c r="A70" s="292" t="s">
        <v>78</v>
      </c>
      <c r="B70" s="309">
        <v>1170</v>
      </c>
      <c r="C70" s="233">
        <f>SUM(C59,C60,C61,C62,C63,C64,C67)</f>
        <v>2299</v>
      </c>
      <c r="D70" s="233">
        <f>SUM(D59,D60,D61,D62,D63,D64,D67)</f>
        <v>8383</v>
      </c>
      <c r="E70" s="233">
        <f t="shared" si="3"/>
        <v>8383</v>
      </c>
      <c r="F70" s="233">
        <f t="shared" ref="F70:J70" si="27">SUM(F59,F60,F61,F62,F63,F64,F67)</f>
        <v>5204</v>
      </c>
      <c r="G70" s="233">
        <f t="shared" si="27"/>
        <v>1435</v>
      </c>
      <c r="H70" s="233">
        <f t="shared" si="27"/>
        <v>1461</v>
      </c>
      <c r="I70" s="233">
        <f t="shared" si="27"/>
        <v>1147</v>
      </c>
      <c r="J70" s="233">
        <f t="shared" si="27"/>
        <v>1161</v>
      </c>
      <c r="K70" s="398"/>
    </row>
    <row r="71" spans="1:11" s="29" customFormat="1" ht="30.75" customHeight="1">
      <c r="A71" s="265" t="s">
        <v>206</v>
      </c>
      <c r="B71" s="250">
        <v>1180</v>
      </c>
      <c r="C71" s="232" t="s">
        <v>197</v>
      </c>
      <c r="D71" s="232">
        <v>-1510</v>
      </c>
      <c r="E71" s="232">
        <f t="shared" si="3"/>
        <v>-1510</v>
      </c>
      <c r="F71" s="232">
        <f t="shared" si="8"/>
        <v>-936</v>
      </c>
      <c r="G71" s="232">
        <f>-ROUND(G70*0.18,0)</f>
        <v>-258</v>
      </c>
      <c r="H71" s="232">
        <f t="shared" ref="H71:J71" si="28">-ROUND(H70*0.18,0)</f>
        <v>-263</v>
      </c>
      <c r="I71" s="232">
        <f t="shared" si="28"/>
        <v>-206</v>
      </c>
      <c r="J71" s="232">
        <f t="shared" si="28"/>
        <v>-209</v>
      </c>
      <c r="K71" s="399"/>
    </row>
    <row r="72" spans="1:11" s="29" customFormat="1" ht="30.75" customHeight="1">
      <c r="A72" s="265" t="s">
        <v>207</v>
      </c>
      <c r="B72" s="250">
        <v>1181</v>
      </c>
      <c r="C72" s="232"/>
      <c r="D72" s="232"/>
      <c r="E72" s="233">
        <f t="shared" si="3"/>
        <v>0</v>
      </c>
      <c r="F72" s="232">
        <f t="shared" si="8"/>
        <v>0</v>
      </c>
      <c r="G72" s="232"/>
      <c r="H72" s="232"/>
      <c r="I72" s="232"/>
      <c r="J72" s="232"/>
      <c r="K72" s="399"/>
    </row>
    <row r="73" spans="1:11" s="29" customFormat="1" ht="30.75" customHeight="1">
      <c r="A73" s="265" t="s">
        <v>208</v>
      </c>
      <c r="B73" s="250">
        <v>1190</v>
      </c>
      <c r="C73" s="232"/>
      <c r="D73" s="232"/>
      <c r="E73" s="233">
        <f t="shared" ref="E73:E95" si="29">D73</f>
        <v>0</v>
      </c>
      <c r="F73" s="232">
        <f>SUM(G73:J73)</f>
        <v>0</v>
      </c>
      <c r="G73" s="232"/>
      <c r="H73" s="232"/>
      <c r="I73" s="232"/>
      <c r="J73" s="232"/>
      <c r="K73" s="399"/>
    </row>
    <row r="74" spans="1:11" s="29" customFormat="1" ht="30.75" customHeight="1">
      <c r="A74" s="265" t="s">
        <v>209</v>
      </c>
      <c r="B74" s="250">
        <v>1191</v>
      </c>
      <c r="C74" s="232" t="s">
        <v>197</v>
      </c>
      <c r="D74" s="232" t="s">
        <v>197</v>
      </c>
      <c r="E74" s="232" t="str">
        <f t="shared" si="29"/>
        <v>(    )</v>
      </c>
      <c r="F74" s="232">
        <f>SUM(G74:J74)</f>
        <v>0</v>
      </c>
      <c r="G74" s="232" t="s">
        <v>197</v>
      </c>
      <c r="H74" s="232" t="s">
        <v>197</v>
      </c>
      <c r="I74" s="232" t="s">
        <v>197</v>
      </c>
      <c r="J74" s="232" t="s">
        <v>197</v>
      </c>
      <c r="K74" s="399"/>
    </row>
    <row r="75" spans="1:11" s="29" customFormat="1" ht="30.75" customHeight="1">
      <c r="A75" s="292" t="s">
        <v>290</v>
      </c>
      <c r="B75" s="433">
        <v>1200</v>
      </c>
      <c r="C75" s="233">
        <f>SUM(C70,C71,C72,C73,C74)</f>
        <v>2299</v>
      </c>
      <c r="D75" s="233">
        <f t="shared" ref="D75:F75" si="30">SUM(D70,D71,D72,D73,D74)</f>
        <v>6873</v>
      </c>
      <c r="E75" s="233">
        <f t="shared" ref="E75:J75" si="31">SUM(E70,E71,E72,E73,E74)</f>
        <v>6873</v>
      </c>
      <c r="F75" s="233">
        <f t="shared" si="30"/>
        <v>4268</v>
      </c>
      <c r="G75" s="233">
        <f t="shared" si="31"/>
        <v>1177</v>
      </c>
      <c r="H75" s="233">
        <f t="shared" si="31"/>
        <v>1198</v>
      </c>
      <c r="I75" s="233">
        <f t="shared" si="31"/>
        <v>941</v>
      </c>
      <c r="J75" s="233">
        <f t="shared" si="31"/>
        <v>952</v>
      </c>
      <c r="K75" s="398"/>
    </row>
    <row r="76" spans="1:11" s="29" customFormat="1" ht="30.75" customHeight="1">
      <c r="A76" s="265" t="s">
        <v>23</v>
      </c>
      <c r="B76" s="250">
        <v>1201</v>
      </c>
      <c r="C76" s="232">
        <f>C75</f>
        <v>2299</v>
      </c>
      <c r="D76" s="232">
        <f t="shared" ref="D76:E76" si="32">D75</f>
        <v>6873</v>
      </c>
      <c r="E76" s="232">
        <f t="shared" si="32"/>
        <v>6873</v>
      </c>
      <c r="F76" s="232">
        <f>SUM(G76:J76)</f>
        <v>4268</v>
      </c>
      <c r="G76" s="232">
        <f t="shared" ref="G76" si="33">G75</f>
        <v>1177</v>
      </c>
      <c r="H76" s="232">
        <f t="shared" ref="H76" si="34">H75</f>
        <v>1198</v>
      </c>
      <c r="I76" s="232">
        <f t="shared" ref="I76" si="35">I75</f>
        <v>941</v>
      </c>
      <c r="J76" s="232">
        <f t="shared" ref="J76" si="36">J75</f>
        <v>952</v>
      </c>
      <c r="K76" s="399"/>
    </row>
    <row r="77" spans="1:11" s="29" customFormat="1" ht="30.75" customHeight="1">
      <c r="A77" s="265" t="s">
        <v>24</v>
      </c>
      <c r="B77" s="250">
        <v>1202</v>
      </c>
      <c r="C77" s="232" t="s">
        <v>197</v>
      </c>
      <c r="D77" s="232" t="s">
        <v>197</v>
      </c>
      <c r="E77" s="232" t="str">
        <f t="shared" si="29"/>
        <v>(    )</v>
      </c>
      <c r="F77" s="232">
        <f>SUM(G77:J77)</f>
        <v>0</v>
      </c>
      <c r="G77" s="232" t="s">
        <v>197</v>
      </c>
      <c r="H77" s="232" t="s">
        <v>197</v>
      </c>
      <c r="I77" s="232" t="s">
        <v>197</v>
      </c>
      <c r="J77" s="232" t="s">
        <v>197</v>
      </c>
      <c r="K77" s="399"/>
    </row>
    <row r="78" spans="1:11" s="29" customFormat="1" ht="30.75" customHeight="1">
      <c r="A78" s="292" t="s">
        <v>18</v>
      </c>
      <c r="B78" s="433">
        <v>1210</v>
      </c>
      <c r="C78" s="233">
        <f t="shared" ref="C78:J78" si="37">SUM(C8,C48,C60,C62,C64,C72,C73)</f>
        <v>101539</v>
      </c>
      <c r="D78" s="233">
        <f t="shared" si="37"/>
        <v>120280</v>
      </c>
      <c r="E78" s="233">
        <f t="shared" si="29"/>
        <v>120280</v>
      </c>
      <c r="F78" s="233">
        <f t="shared" si="37"/>
        <v>140040</v>
      </c>
      <c r="G78" s="233">
        <f t="shared" si="37"/>
        <v>35010</v>
      </c>
      <c r="H78" s="233">
        <f t="shared" si="37"/>
        <v>35010</v>
      </c>
      <c r="I78" s="233">
        <f t="shared" si="37"/>
        <v>35010</v>
      </c>
      <c r="J78" s="233">
        <f t="shared" si="37"/>
        <v>35010</v>
      </c>
      <c r="K78" s="398"/>
    </row>
    <row r="79" spans="1:11" s="29" customFormat="1" ht="30.75" customHeight="1">
      <c r="A79" s="292" t="s">
        <v>92</v>
      </c>
      <c r="B79" s="433">
        <v>1220</v>
      </c>
      <c r="C79" s="233">
        <f t="shared" ref="C79:J79" si="38">SUM(C9,C19,C40,C52,C61,C63,C67,C71,C74)</f>
        <v>-99240</v>
      </c>
      <c r="D79" s="233">
        <f t="shared" si="38"/>
        <v>-113407</v>
      </c>
      <c r="E79" s="233">
        <f t="shared" si="29"/>
        <v>-113407</v>
      </c>
      <c r="F79" s="233">
        <f t="shared" si="38"/>
        <v>-135772</v>
      </c>
      <c r="G79" s="233">
        <f t="shared" si="38"/>
        <v>-33833</v>
      </c>
      <c r="H79" s="233">
        <f t="shared" si="38"/>
        <v>-33812</v>
      </c>
      <c r="I79" s="233">
        <f t="shared" si="38"/>
        <v>-34069</v>
      </c>
      <c r="J79" s="233">
        <f t="shared" si="38"/>
        <v>-34058</v>
      </c>
      <c r="K79" s="398"/>
    </row>
    <row r="80" spans="1:11" s="29" customFormat="1" ht="30.75" customHeight="1">
      <c r="A80" s="265" t="s">
        <v>160</v>
      </c>
      <c r="B80" s="250">
        <v>1230</v>
      </c>
      <c r="C80" s="232"/>
      <c r="D80" s="232"/>
      <c r="E80" s="233">
        <f t="shared" si="29"/>
        <v>0</v>
      </c>
      <c r="F80" s="232">
        <f>SUM(G80:J80)</f>
        <v>0</v>
      </c>
      <c r="G80" s="232"/>
      <c r="H80" s="232"/>
      <c r="I80" s="232"/>
      <c r="J80" s="232"/>
      <c r="K80" s="399"/>
    </row>
    <row r="81" spans="1:11" s="29" customFormat="1" ht="30.75" customHeight="1">
      <c r="A81" s="292" t="s">
        <v>115</v>
      </c>
      <c r="B81" s="433"/>
      <c r="C81" s="233"/>
      <c r="D81" s="233"/>
      <c r="E81" s="233">
        <f t="shared" si="29"/>
        <v>0</v>
      </c>
      <c r="F81" s="233"/>
      <c r="G81" s="233"/>
      <c r="H81" s="233"/>
      <c r="I81" s="233"/>
      <c r="J81" s="233"/>
      <c r="K81" s="398"/>
    </row>
    <row r="82" spans="1:11" s="29" customFormat="1" ht="30.75" customHeight="1">
      <c r="A82" s="265" t="s">
        <v>246</v>
      </c>
      <c r="B82" s="250">
        <v>1300</v>
      </c>
      <c r="C82" s="232">
        <f>C59</f>
        <v>2650</v>
      </c>
      <c r="D82" s="232">
        <f>D59</f>
        <v>8416</v>
      </c>
      <c r="E82" s="232">
        <f t="shared" si="29"/>
        <v>8416</v>
      </c>
      <c r="F82" s="232">
        <f t="shared" ref="F82:F87" si="39">SUM(G82:J82)</f>
        <v>4974</v>
      </c>
      <c r="G82" s="232">
        <f>G59</f>
        <v>1408</v>
      </c>
      <c r="H82" s="232">
        <f>H59</f>
        <v>1408</v>
      </c>
      <c r="I82" s="232">
        <f>I59</f>
        <v>1079</v>
      </c>
      <c r="J82" s="232">
        <f>J59</f>
        <v>1079</v>
      </c>
      <c r="K82" s="399"/>
    </row>
    <row r="83" spans="1:11" s="29" customFormat="1" ht="30.75" customHeight="1">
      <c r="A83" s="265" t="s">
        <v>271</v>
      </c>
      <c r="B83" s="250">
        <v>1301</v>
      </c>
      <c r="C83" s="232">
        <f>C93</f>
        <v>6160</v>
      </c>
      <c r="D83" s="232">
        <f>D93</f>
        <v>6016</v>
      </c>
      <c r="E83" s="232">
        <f t="shared" si="29"/>
        <v>6016</v>
      </c>
      <c r="F83" s="232">
        <f t="shared" si="39"/>
        <v>6206</v>
      </c>
      <c r="G83" s="232">
        <f>G93</f>
        <v>1387</v>
      </c>
      <c r="H83" s="232">
        <f>H93</f>
        <v>1387</v>
      </c>
      <c r="I83" s="232">
        <f>I93</f>
        <v>1716</v>
      </c>
      <c r="J83" s="232">
        <f>J93</f>
        <v>1716</v>
      </c>
      <c r="K83" s="399"/>
    </row>
    <row r="84" spans="1:11" s="29" customFormat="1" ht="30.75" customHeight="1">
      <c r="A84" s="265" t="s">
        <v>272</v>
      </c>
      <c r="B84" s="250">
        <v>1302</v>
      </c>
      <c r="C84" s="232">
        <f>C49</f>
        <v>0</v>
      </c>
      <c r="D84" s="232">
        <f t="shared" ref="D84:J84" si="40">D49</f>
        <v>0</v>
      </c>
      <c r="E84" s="233">
        <f t="shared" si="29"/>
        <v>0</v>
      </c>
      <c r="F84" s="232">
        <f t="shared" si="39"/>
        <v>0</v>
      </c>
      <c r="G84" s="232">
        <f t="shared" si="40"/>
        <v>0</v>
      </c>
      <c r="H84" s="232">
        <f t="shared" si="40"/>
        <v>0</v>
      </c>
      <c r="I84" s="232">
        <f t="shared" si="40"/>
        <v>0</v>
      </c>
      <c r="J84" s="232">
        <f t="shared" si="40"/>
        <v>0</v>
      </c>
      <c r="K84" s="399"/>
    </row>
    <row r="85" spans="1:11" s="29" customFormat="1" ht="30.75" customHeight="1">
      <c r="A85" s="265" t="s">
        <v>273</v>
      </c>
      <c r="B85" s="250">
        <v>1303</v>
      </c>
      <c r="C85" s="232"/>
      <c r="D85" s="232"/>
      <c r="E85" s="232"/>
      <c r="F85" s="232">
        <f t="shared" si="39"/>
        <v>0</v>
      </c>
      <c r="G85" s="232"/>
      <c r="H85" s="232"/>
      <c r="I85" s="232"/>
      <c r="J85" s="232"/>
      <c r="K85" s="399"/>
    </row>
    <row r="86" spans="1:11" s="29" customFormat="1" ht="30.75" customHeight="1">
      <c r="A86" s="265" t="s">
        <v>274</v>
      </c>
      <c r="B86" s="250">
        <v>1304</v>
      </c>
      <c r="C86" s="232">
        <f>C50</f>
        <v>0</v>
      </c>
      <c r="D86" s="232">
        <f t="shared" ref="D86:J86" si="41">D50</f>
        <v>0</v>
      </c>
      <c r="E86" s="232">
        <f t="shared" si="29"/>
        <v>0</v>
      </c>
      <c r="F86" s="232">
        <f t="shared" si="39"/>
        <v>0</v>
      </c>
      <c r="G86" s="232">
        <f t="shared" si="41"/>
        <v>0</v>
      </c>
      <c r="H86" s="232">
        <f t="shared" si="41"/>
        <v>0</v>
      </c>
      <c r="I86" s="232">
        <f t="shared" si="41"/>
        <v>0</v>
      </c>
      <c r="J86" s="232">
        <f t="shared" si="41"/>
        <v>0</v>
      </c>
      <c r="K86" s="399"/>
    </row>
    <row r="87" spans="1:11" s="29" customFormat="1" ht="30.75" customHeight="1">
      <c r="A87" s="265" t="s">
        <v>275</v>
      </c>
      <c r="B87" s="250">
        <v>1305</v>
      </c>
      <c r="C87" s="232"/>
      <c r="D87" s="232"/>
      <c r="E87" s="232"/>
      <c r="F87" s="232">
        <f t="shared" si="39"/>
        <v>0</v>
      </c>
      <c r="G87" s="232"/>
      <c r="H87" s="232"/>
      <c r="I87" s="232"/>
      <c r="J87" s="232"/>
      <c r="K87" s="399"/>
    </row>
    <row r="88" spans="1:11" s="29" customFormat="1" ht="30.75" customHeight="1">
      <c r="A88" s="292" t="s">
        <v>105</v>
      </c>
      <c r="B88" s="433">
        <v>1310</v>
      </c>
      <c r="C88" s="233">
        <f>C82+C83-C84-C85-C86-C87</f>
        <v>8810</v>
      </c>
      <c r="D88" s="233">
        <f t="shared" ref="D88:J88" si="42">D82+D83-D84-D85-D86-D87</f>
        <v>14432</v>
      </c>
      <c r="E88" s="233">
        <f t="shared" si="42"/>
        <v>14432</v>
      </c>
      <c r="F88" s="233">
        <f>F82+F83-F84-F85-F86-F87</f>
        <v>11180</v>
      </c>
      <c r="G88" s="233">
        <f t="shared" si="42"/>
        <v>2795</v>
      </c>
      <c r="H88" s="233">
        <f t="shared" si="42"/>
        <v>2795</v>
      </c>
      <c r="I88" s="233">
        <f t="shared" si="42"/>
        <v>2795</v>
      </c>
      <c r="J88" s="233">
        <f t="shared" si="42"/>
        <v>2795</v>
      </c>
      <c r="K88" s="398"/>
    </row>
    <row r="89" spans="1:11" s="29" customFormat="1" ht="30.75" customHeight="1">
      <c r="A89" s="292" t="s">
        <v>154</v>
      </c>
      <c r="B89" s="433"/>
      <c r="C89" s="272"/>
      <c r="D89" s="272"/>
      <c r="E89" s="272">
        <f t="shared" si="29"/>
        <v>0</v>
      </c>
      <c r="F89" s="272"/>
      <c r="G89" s="272"/>
      <c r="H89" s="272"/>
      <c r="I89" s="272"/>
      <c r="J89" s="272"/>
      <c r="K89" s="398"/>
    </row>
    <row r="90" spans="1:11" s="29" customFormat="1" ht="30.75" customHeight="1">
      <c r="A90" s="265" t="s">
        <v>358</v>
      </c>
      <c r="B90" s="250">
        <v>1400</v>
      </c>
      <c r="C90" s="232">
        <v>31692</v>
      </c>
      <c r="D90" s="232">
        <v>34588</v>
      </c>
      <c r="E90" s="232">
        <f>-E10-'Розшифровка до Формування'!E59</f>
        <v>43321</v>
      </c>
      <c r="F90" s="232">
        <f t="shared" ref="F90:F95" si="43">SUM(G90:J90)</f>
        <v>59572</v>
      </c>
      <c r="G90" s="232">
        <f>-G10-'Розшифровка до Формування'!G59</f>
        <v>14893</v>
      </c>
      <c r="H90" s="232">
        <f>-H10-'Розшифровка до Формування'!H59</f>
        <v>14893</v>
      </c>
      <c r="I90" s="232">
        <f>-I10-'Розшифровка до Формування'!I59</f>
        <v>14893</v>
      </c>
      <c r="J90" s="232">
        <f>-J10-'Розшифровка до Формування'!J59</f>
        <v>14893</v>
      </c>
      <c r="K90" s="399"/>
    </row>
    <row r="91" spans="1:11" s="29" customFormat="1" ht="30.75" customHeight="1">
      <c r="A91" s="265" t="s">
        <v>5</v>
      </c>
      <c r="B91" s="250">
        <v>1410</v>
      </c>
      <c r="C91" s="232">
        <v>36629</v>
      </c>
      <c r="D91" s="232">
        <v>45836</v>
      </c>
      <c r="E91" s="232">
        <f>-(E13+E25)</f>
        <v>38831</v>
      </c>
      <c r="F91" s="232">
        <f t="shared" si="43"/>
        <v>40092</v>
      </c>
      <c r="G91" s="232">
        <f>-(G13+G25)</f>
        <v>10023</v>
      </c>
      <c r="H91" s="232">
        <f t="shared" ref="H91:J91" si="44">-(H13+H25)</f>
        <v>10023</v>
      </c>
      <c r="I91" s="232">
        <f t="shared" si="44"/>
        <v>10023</v>
      </c>
      <c r="J91" s="232">
        <f t="shared" si="44"/>
        <v>10023</v>
      </c>
      <c r="K91" s="399"/>
    </row>
    <row r="92" spans="1:11" s="29" customFormat="1" ht="30.75" customHeight="1">
      <c r="A92" s="265" t="s">
        <v>6</v>
      </c>
      <c r="B92" s="250">
        <v>1420</v>
      </c>
      <c r="C92" s="232">
        <v>7758</v>
      </c>
      <c r="D92" s="232">
        <v>10084</v>
      </c>
      <c r="E92" s="232">
        <f>-(E14+E26)</f>
        <v>8543</v>
      </c>
      <c r="F92" s="232">
        <f t="shared" si="43"/>
        <v>8820</v>
      </c>
      <c r="G92" s="232">
        <f>-(G14+G26)</f>
        <v>2205</v>
      </c>
      <c r="H92" s="232">
        <f t="shared" ref="H92:J92" si="45">-(H14+H26)</f>
        <v>2205</v>
      </c>
      <c r="I92" s="232">
        <f t="shared" si="45"/>
        <v>2205</v>
      </c>
      <c r="J92" s="232">
        <f t="shared" si="45"/>
        <v>2205</v>
      </c>
      <c r="K92" s="399"/>
    </row>
    <row r="93" spans="1:11" s="29" customFormat="1" ht="30.75" customHeight="1">
      <c r="A93" s="265" t="s">
        <v>7</v>
      </c>
      <c r="B93" s="250">
        <v>1430</v>
      </c>
      <c r="C93" s="232">
        <v>6160</v>
      </c>
      <c r="D93" s="232">
        <v>6016</v>
      </c>
      <c r="E93" s="232">
        <f>-(E16+E27)</f>
        <v>6016</v>
      </c>
      <c r="F93" s="232">
        <f t="shared" si="43"/>
        <v>6206</v>
      </c>
      <c r="G93" s="232">
        <f>-(G16+G27)</f>
        <v>1387</v>
      </c>
      <c r="H93" s="232">
        <f t="shared" ref="H93:J93" si="46">-(H16+H27)</f>
        <v>1387</v>
      </c>
      <c r="I93" s="232">
        <f t="shared" si="46"/>
        <v>1716</v>
      </c>
      <c r="J93" s="232">
        <f t="shared" si="46"/>
        <v>1716</v>
      </c>
      <c r="K93" s="399"/>
    </row>
    <row r="94" spans="1:11" s="29" customFormat="1" ht="30.75" customHeight="1">
      <c r="A94" s="265" t="s">
        <v>26</v>
      </c>
      <c r="B94" s="250">
        <v>1440</v>
      </c>
      <c r="C94" s="232">
        <v>16114</v>
      </c>
      <c r="D94" s="232">
        <v>14800</v>
      </c>
      <c r="E94" s="232">
        <f>-(E12+E15+E17+E24+E32+E37+E39)+'Розшифровка до Формування'!E59+'Розшифровка до Формування'!E10</f>
        <v>14613</v>
      </c>
      <c r="F94" s="232">
        <f t="shared" si="43"/>
        <v>19836</v>
      </c>
      <c r="G94" s="232">
        <f>-(G12+G15+G17+G24+G32+G37+G39)+'Розшифровка до Формування'!G59+'Розшифровка до Формування'!G10-'Розшифровка до Формування'!G78</f>
        <v>4959</v>
      </c>
      <c r="H94" s="232">
        <f>-(H12+H15+H17+H24+H32+H37+H39)+'Розшифровка до Формування'!H59+'Розшифровка до Формування'!H10-'Розшифровка до Формування'!H78</f>
        <v>4959</v>
      </c>
      <c r="I94" s="232">
        <f>-(I12+I15+I17+I24+I32+I37+I39)+'Розшифровка до Формування'!I59+'Розшифровка до Формування'!I10-'Розшифровка до Формування'!I78</f>
        <v>4959</v>
      </c>
      <c r="J94" s="232">
        <f>-(J12+J15+J17+J24+J32+J37+J39)+'Розшифровка до Формування'!J59+'Розшифровка до Формування'!J10-'Розшифровка до Формування'!J78</f>
        <v>4959</v>
      </c>
      <c r="K94" s="399"/>
    </row>
    <row r="95" spans="1:11" s="29" customFormat="1" ht="30.75" customHeight="1">
      <c r="A95" s="292" t="s">
        <v>49</v>
      </c>
      <c r="B95" s="433">
        <v>1450</v>
      </c>
      <c r="C95" s="233">
        <f>SUM(C90,C91:C94)</f>
        <v>98353</v>
      </c>
      <c r="D95" s="233">
        <f>SUM(D90,D91:D94)</f>
        <v>111324</v>
      </c>
      <c r="E95" s="233">
        <f t="shared" si="29"/>
        <v>111324</v>
      </c>
      <c r="F95" s="233">
        <f t="shared" si="43"/>
        <v>134526</v>
      </c>
      <c r="G95" s="233">
        <f>SUM(G90,G91:G94)</f>
        <v>33467</v>
      </c>
      <c r="H95" s="233">
        <f>SUM(H90,H91:H94)</f>
        <v>33467</v>
      </c>
      <c r="I95" s="233">
        <f>SUM(I90,I91:I94)</f>
        <v>33796</v>
      </c>
      <c r="J95" s="233">
        <f>SUM(J90,J91:J94)</f>
        <v>33796</v>
      </c>
      <c r="K95" s="398"/>
    </row>
    <row r="96" spans="1:11" s="415" customFormat="1" ht="20.100000000000001" customHeight="1">
      <c r="A96" s="418"/>
      <c r="B96" s="279"/>
      <c r="C96" s="401"/>
      <c r="D96" s="401"/>
      <c r="E96" s="401"/>
      <c r="F96" s="401"/>
      <c r="G96" s="401"/>
      <c r="H96" s="401"/>
      <c r="I96" s="401"/>
      <c r="J96" s="401"/>
      <c r="K96" s="402"/>
    </row>
    <row r="97" spans="1:10" ht="89.25" customHeight="1">
      <c r="A97" s="403"/>
      <c r="C97" s="394"/>
      <c r="D97" s="404"/>
      <c r="E97" s="404"/>
      <c r="F97" s="404"/>
      <c r="G97" s="404"/>
      <c r="H97" s="404"/>
      <c r="I97" s="404"/>
      <c r="J97" s="404"/>
    </row>
    <row r="98" spans="1:10" s="166" customFormat="1" ht="20.100000000000001" customHeight="1">
      <c r="A98" s="278" t="s">
        <v>519</v>
      </c>
      <c r="B98" s="279"/>
      <c r="C98" s="524" t="s">
        <v>156</v>
      </c>
      <c r="D98" s="524"/>
      <c r="E98" s="524"/>
      <c r="F98" s="524"/>
      <c r="G98" s="280"/>
      <c r="H98" s="515" t="s">
        <v>657</v>
      </c>
      <c r="I98" s="515"/>
      <c r="J98" s="515"/>
    </row>
    <row r="99" spans="1:10" s="170" customFormat="1" ht="29.25" customHeight="1">
      <c r="A99" s="283" t="s">
        <v>68</v>
      </c>
      <c r="B99" s="282"/>
      <c r="C99" s="519" t="s">
        <v>183</v>
      </c>
      <c r="D99" s="519"/>
      <c r="E99" s="519"/>
      <c r="F99" s="519"/>
      <c r="G99" s="284"/>
      <c r="H99" s="520" t="s">
        <v>359</v>
      </c>
      <c r="I99" s="520"/>
      <c r="J99" s="520"/>
    </row>
    <row r="100" spans="1:10" ht="20.100000000000001" customHeight="1">
      <c r="A100" s="403"/>
      <c r="C100" s="394"/>
      <c r="D100" s="394"/>
      <c r="E100" s="394"/>
      <c r="F100" s="394"/>
      <c r="G100" s="394"/>
      <c r="H100" s="404"/>
      <c r="I100" s="404"/>
      <c r="J100" s="404"/>
    </row>
    <row r="101" spans="1:10">
      <c r="A101" s="403"/>
      <c r="C101" s="394"/>
      <c r="D101" s="394"/>
      <c r="E101" s="394"/>
      <c r="F101" s="394"/>
      <c r="G101" s="394"/>
      <c r="H101" s="404"/>
      <c r="I101" s="404"/>
      <c r="J101" s="404"/>
    </row>
    <row r="102" spans="1:10">
      <c r="A102" s="403"/>
      <c r="C102" s="394"/>
      <c r="D102" s="394"/>
      <c r="E102" s="394"/>
      <c r="F102" s="394"/>
      <c r="G102" s="394"/>
      <c r="H102" s="404"/>
      <c r="I102" s="404"/>
      <c r="J102" s="404"/>
    </row>
    <row r="103" spans="1:10">
      <c r="A103" s="403"/>
      <c r="C103" s="394"/>
      <c r="D103" s="394"/>
      <c r="E103" s="394"/>
      <c r="F103" s="394"/>
      <c r="G103" s="394"/>
      <c r="H103" s="404"/>
      <c r="I103" s="404"/>
      <c r="J103" s="404"/>
    </row>
    <row r="104" spans="1:10">
      <c r="A104" s="403"/>
      <c r="C104" s="394"/>
      <c r="D104" s="394"/>
      <c r="E104" s="394"/>
      <c r="F104" s="394"/>
      <c r="G104" s="394"/>
      <c r="H104" s="404"/>
      <c r="I104" s="404"/>
      <c r="J104" s="404"/>
    </row>
    <row r="105" spans="1:10">
      <c r="A105" s="403"/>
      <c r="C105" s="394"/>
      <c r="D105" s="404"/>
      <c r="E105" s="404"/>
      <c r="F105" s="404"/>
      <c r="G105" s="404"/>
      <c r="H105" s="404"/>
      <c r="I105" s="404"/>
      <c r="J105" s="404"/>
    </row>
    <row r="106" spans="1:10">
      <c r="A106" s="403"/>
      <c r="C106" s="394"/>
      <c r="D106" s="394"/>
      <c r="E106" s="394"/>
      <c r="F106" s="394"/>
      <c r="G106" s="394"/>
      <c r="H106" s="404"/>
      <c r="I106" s="404"/>
      <c r="J106" s="404"/>
    </row>
    <row r="107" spans="1:10">
      <c r="A107" s="403"/>
      <c r="C107" s="394"/>
      <c r="D107" s="394"/>
      <c r="E107" s="394"/>
      <c r="F107" s="394"/>
      <c r="G107" s="394"/>
      <c r="H107" s="404"/>
      <c r="I107" s="404"/>
      <c r="J107" s="404"/>
    </row>
    <row r="108" spans="1:10">
      <c r="A108" s="403"/>
      <c r="C108" s="394"/>
      <c r="D108" s="404"/>
      <c r="E108" s="404"/>
      <c r="F108" s="404"/>
      <c r="G108" s="404"/>
      <c r="H108" s="404"/>
      <c r="I108" s="404"/>
      <c r="J108" s="404"/>
    </row>
    <row r="109" spans="1:10">
      <c r="A109" s="403"/>
      <c r="C109" s="394"/>
      <c r="D109" s="394"/>
      <c r="E109" s="394"/>
      <c r="F109" s="394"/>
      <c r="G109" s="394"/>
      <c r="H109" s="404"/>
      <c r="I109" s="404"/>
      <c r="J109" s="404"/>
    </row>
    <row r="110" spans="1:10">
      <c r="A110" s="403"/>
      <c r="C110" s="394"/>
      <c r="D110" s="394"/>
      <c r="E110" s="394"/>
      <c r="F110" s="394"/>
      <c r="G110" s="394"/>
      <c r="H110" s="404"/>
      <c r="I110" s="404"/>
      <c r="J110" s="404"/>
    </row>
    <row r="111" spans="1:10">
      <c r="A111" s="403"/>
      <c r="C111" s="394"/>
      <c r="D111" s="404"/>
      <c r="E111" s="404"/>
      <c r="F111" s="404"/>
      <c r="G111" s="404"/>
      <c r="H111" s="404"/>
      <c r="I111" s="404"/>
      <c r="J111" s="404"/>
    </row>
    <row r="112" spans="1:10">
      <c r="A112" s="403"/>
      <c r="C112" s="394"/>
      <c r="D112" s="394"/>
      <c r="E112" s="394"/>
      <c r="F112" s="394"/>
      <c r="G112" s="394"/>
      <c r="H112" s="404"/>
      <c r="I112" s="404"/>
      <c r="J112" s="404"/>
    </row>
    <row r="113" spans="1:10">
      <c r="A113" s="403"/>
      <c r="C113" s="394"/>
      <c r="D113" s="394"/>
      <c r="E113" s="394"/>
      <c r="F113" s="394"/>
      <c r="G113" s="394"/>
      <c r="H113" s="404"/>
      <c r="I113" s="404"/>
      <c r="J113" s="404"/>
    </row>
    <row r="114" spans="1:10">
      <c r="A114" s="403"/>
      <c r="C114" s="394"/>
      <c r="D114" s="404"/>
      <c r="E114" s="404"/>
      <c r="F114" s="404"/>
      <c r="G114" s="404"/>
      <c r="H114" s="404"/>
      <c r="I114" s="404"/>
      <c r="J114" s="404"/>
    </row>
    <row r="115" spans="1:10">
      <c r="A115" s="403"/>
      <c r="C115" s="394"/>
      <c r="D115" s="394"/>
      <c r="E115" s="394"/>
      <c r="F115" s="394"/>
      <c r="G115" s="394"/>
      <c r="H115" s="404"/>
      <c r="I115" s="404"/>
      <c r="J115" s="404"/>
    </row>
    <row r="116" spans="1:10">
      <c r="A116" s="403"/>
      <c r="C116" s="394"/>
      <c r="D116" s="394"/>
      <c r="E116" s="394"/>
      <c r="F116" s="394"/>
      <c r="G116" s="394"/>
      <c r="H116" s="404"/>
      <c r="I116" s="404"/>
      <c r="J116" s="404"/>
    </row>
    <row r="117" spans="1:10">
      <c r="A117" s="403"/>
      <c r="C117" s="394"/>
      <c r="D117" s="404"/>
      <c r="E117" s="404"/>
      <c r="F117" s="404"/>
      <c r="G117" s="404"/>
      <c r="H117" s="404"/>
      <c r="I117" s="404"/>
      <c r="J117" s="404"/>
    </row>
    <row r="118" spans="1:10">
      <c r="A118" s="403"/>
      <c r="C118" s="394"/>
      <c r="D118" s="404"/>
      <c r="E118" s="404"/>
      <c r="F118" s="404"/>
      <c r="G118" s="404"/>
      <c r="H118" s="404"/>
      <c r="I118" s="404"/>
      <c r="J118" s="404"/>
    </row>
    <row r="119" spans="1:10">
      <c r="A119" s="403"/>
      <c r="C119" s="394"/>
      <c r="D119" s="404"/>
      <c r="E119" s="404"/>
      <c r="F119" s="404"/>
      <c r="G119" s="404"/>
      <c r="H119" s="404"/>
      <c r="I119" s="404"/>
      <c r="J119" s="404"/>
    </row>
    <row r="120" spans="1:10">
      <c r="A120" s="403"/>
      <c r="C120" s="394"/>
      <c r="D120" s="404"/>
      <c r="E120" s="404"/>
      <c r="F120" s="404"/>
      <c r="G120" s="404"/>
      <c r="H120" s="404"/>
      <c r="I120" s="404"/>
      <c r="J120" s="404"/>
    </row>
    <row r="121" spans="1:10">
      <c r="A121" s="403"/>
      <c r="C121" s="394"/>
      <c r="D121" s="404"/>
      <c r="E121" s="404"/>
      <c r="F121" s="404"/>
      <c r="G121" s="404"/>
      <c r="H121" s="404"/>
      <c r="I121" s="404"/>
      <c r="J121" s="404"/>
    </row>
    <row r="122" spans="1:10">
      <c r="A122" s="403"/>
      <c r="C122" s="394"/>
      <c r="D122" s="404"/>
      <c r="E122" s="404"/>
      <c r="F122" s="404"/>
      <c r="G122" s="404"/>
      <c r="H122" s="404"/>
      <c r="I122" s="404"/>
      <c r="J122" s="404"/>
    </row>
    <row r="123" spans="1:10">
      <c r="A123" s="403"/>
      <c r="C123" s="394"/>
      <c r="D123" s="404"/>
      <c r="E123" s="404"/>
      <c r="F123" s="404"/>
      <c r="G123" s="404"/>
      <c r="H123" s="404"/>
      <c r="I123" s="404"/>
      <c r="J123" s="404"/>
    </row>
    <row r="124" spans="1:10">
      <c r="A124" s="403"/>
      <c r="C124" s="394"/>
      <c r="D124" s="404"/>
      <c r="E124" s="404"/>
      <c r="F124" s="404"/>
      <c r="G124" s="404"/>
      <c r="H124" s="404"/>
      <c r="I124" s="404"/>
      <c r="J124" s="404"/>
    </row>
    <row r="125" spans="1:10">
      <c r="A125" s="403"/>
      <c r="C125" s="394"/>
      <c r="D125" s="404"/>
      <c r="E125" s="404"/>
      <c r="F125" s="404"/>
      <c r="G125" s="404"/>
      <c r="H125" s="404"/>
      <c r="I125" s="404"/>
      <c r="J125" s="404"/>
    </row>
    <row r="126" spans="1:10">
      <c r="A126" s="403"/>
      <c r="C126" s="394"/>
      <c r="D126" s="404"/>
      <c r="E126" s="404"/>
      <c r="F126" s="404"/>
      <c r="G126" s="404"/>
      <c r="H126" s="404"/>
      <c r="I126" s="404"/>
      <c r="J126" s="404"/>
    </row>
    <row r="127" spans="1:10">
      <c r="A127" s="403"/>
      <c r="C127" s="394"/>
      <c r="D127" s="404"/>
      <c r="E127" s="404"/>
      <c r="F127" s="404"/>
      <c r="G127" s="404"/>
      <c r="H127" s="404"/>
      <c r="I127" s="404"/>
      <c r="J127" s="404"/>
    </row>
    <row r="128" spans="1:10">
      <c r="A128" s="403"/>
      <c r="C128" s="394"/>
      <c r="D128" s="404"/>
      <c r="E128" s="404"/>
      <c r="F128" s="404"/>
      <c r="G128" s="404"/>
      <c r="H128" s="404"/>
      <c r="I128" s="404"/>
      <c r="J128" s="404"/>
    </row>
    <row r="129" spans="1:10">
      <c r="A129" s="403"/>
      <c r="C129" s="394"/>
      <c r="D129" s="404"/>
      <c r="E129" s="404"/>
      <c r="F129" s="404"/>
      <c r="G129" s="404"/>
      <c r="H129" s="404"/>
      <c r="I129" s="404"/>
      <c r="J129" s="404"/>
    </row>
    <row r="130" spans="1:10">
      <c r="A130" s="403"/>
      <c r="C130" s="394"/>
      <c r="D130" s="404"/>
      <c r="E130" s="404"/>
      <c r="F130" s="404"/>
      <c r="G130" s="404"/>
      <c r="H130" s="404"/>
      <c r="I130" s="404"/>
      <c r="J130" s="404"/>
    </row>
    <row r="131" spans="1:10">
      <c r="A131" s="403"/>
      <c r="C131" s="394"/>
      <c r="D131" s="404"/>
      <c r="E131" s="404"/>
      <c r="F131" s="404"/>
      <c r="G131" s="404"/>
      <c r="H131" s="404"/>
      <c r="I131" s="404"/>
      <c r="J131" s="404"/>
    </row>
    <row r="132" spans="1:10">
      <c r="A132" s="403"/>
      <c r="C132" s="394"/>
      <c r="D132" s="404"/>
      <c r="E132" s="404"/>
      <c r="F132" s="404"/>
      <c r="G132" s="404"/>
      <c r="H132" s="404"/>
      <c r="I132" s="404"/>
      <c r="J132" s="404"/>
    </row>
    <row r="133" spans="1:10">
      <c r="A133" s="403"/>
      <c r="C133" s="394"/>
      <c r="D133" s="404"/>
      <c r="E133" s="404"/>
      <c r="F133" s="404"/>
      <c r="G133" s="404"/>
      <c r="H133" s="404"/>
      <c r="I133" s="404"/>
      <c r="J133" s="404"/>
    </row>
    <row r="134" spans="1:10">
      <c r="A134" s="403"/>
      <c r="C134" s="394"/>
      <c r="D134" s="404"/>
      <c r="E134" s="404"/>
      <c r="F134" s="404"/>
      <c r="G134" s="404"/>
      <c r="H134" s="404"/>
      <c r="I134" s="404"/>
      <c r="J134" s="404"/>
    </row>
    <row r="135" spans="1:10">
      <c r="A135" s="403"/>
      <c r="C135" s="394"/>
      <c r="D135" s="404"/>
      <c r="E135" s="404"/>
      <c r="F135" s="404"/>
      <c r="G135" s="404"/>
      <c r="H135" s="404"/>
      <c r="I135" s="404"/>
      <c r="J135" s="404"/>
    </row>
    <row r="136" spans="1:10">
      <c r="A136" s="403"/>
      <c r="C136" s="394"/>
      <c r="D136" s="404"/>
      <c r="E136" s="404"/>
      <c r="F136" s="404"/>
      <c r="G136" s="404"/>
      <c r="H136" s="404"/>
      <c r="I136" s="404"/>
      <c r="J136" s="404"/>
    </row>
    <row r="137" spans="1:10">
      <c r="A137" s="403"/>
      <c r="C137" s="394"/>
      <c r="D137" s="404"/>
      <c r="E137" s="404"/>
      <c r="F137" s="404"/>
      <c r="G137" s="404"/>
      <c r="H137" s="404"/>
      <c r="I137" s="404"/>
      <c r="J137" s="404"/>
    </row>
    <row r="138" spans="1:10">
      <c r="A138" s="403"/>
      <c r="C138" s="394"/>
      <c r="D138" s="404"/>
      <c r="E138" s="404"/>
      <c r="F138" s="404"/>
      <c r="G138" s="404"/>
      <c r="H138" s="404"/>
      <c r="I138" s="404"/>
      <c r="J138" s="404"/>
    </row>
    <row r="139" spans="1:10">
      <c r="A139" s="403"/>
      <c r="C139" s="394"/>
      <c r="D139" s="404"/>
      <c r="E139" s="404"/>
      <c r="F139" s="404"/>
      <c r="G139" s="404"/>
      <c r="H139" s="404"/>
      <c r="I139" s="404"/>
      <c r="J139" s="404"/>
    </row>
    <row r="140" spans="1:10">
      <c r="A140" s="403"/>
      <c r="C140" s="394"/>
      <c r="D140" s="404"/>
      <c r="E140" s="404"/>
      <c r="F140" s="404"/>
      <c r="G140" s="404"/>
      <c r="H140" s="404"/>
      <c r="I140" s="404"/>
      <c r="J140" s="404"/>
    </row>
    <row r="141" spans="1:10">
      <c r="A141" s="403"/>
      <c r="C141" s="394"/>
      <c r="D141" s="404"/>
      <c r="E141" s="404"/>
      <c r="F141" s="404"/>
      <c r="G141" s="404"/>
      <c r="H141" s="404"/>
      <c r="I141" s="404"/>
      <c r="J141" s="404"/>
    </row>
    <row r="142" spans="1:10">
      <c r="A142" s="403"/>
      <c r="C142" s="394"/>
      <c r="D142" s="404"/>
      <c r="E142" s="404"/>
      <c r="F142" s="404"/>
      <c r="G142" s="404"/>
      <c r="H142" s="404"/>
      <c r="I142" s="404"/>
      <c r="J142" s="404"/>
    </row>
    <row r="143" spans="1:10">
      <c r="A143" s="403"/>
      <c r="C143" s="394"/>
      <c r="D143" s="404"/>
      <c r="E143" s="404"/>
      <c r="F143" s="404"/>
      <c r="G143" s="404"/>
      <c r="H143" s="404"/>
      <c r="I143" s="404"/>
      <c r="J143" s="404"/>
    </row>
    <row r="144" spans="1:10">
      <c r="A144" s="403"/>
      <c r="C144" s="394"/>
      <c r="D144" s="404"/>
      <c r="E144" s="404"/>
      <c r="F144" s="404"/>
      <c r="G144" s="404"/>
      <c r="H144" s="404"/>
      <c r="I144" s="404"/>
      <c r="J144" s="404"/>
    </row>
    <row r="145" spans="1:10">
      <c r="A145" s="403"/>
      <c r="C145" s="394"/>
      <c r="D145" s="404"/>
      <c r="E145" s="404"/>
      <c r="F145" s="404"/>
      <c r="G145" s="404"/>
      <c r="H145" s="404"/>
      <c r="I145" s="404"/>
      <c r="J145" s="404"/>
    </row>
    <row r="146" spans="1:10">
      <c r="A146" s="403"/>
      <c r="C146" s="394"/>
      <c r="D146" s="404"/>
      <c r="E146" s="404"/>
      <c r="F146" s="404"/>
      <c r="G146" s="404"/>
      <c r="H146" s="404"/>
      <c r="I146" s="404"/>
      <c r="J146" s="404"/>
    </row>
    <row r="147" spans="1:10">
      <c r="A147" s="403"/>
      <c r="C147" s="394"/>
      <c r="D147" s="404"/>
      <c r="E147" s="404"/>
      <c r="F147" s="404"/>
      <c r="G147" s="404"/>
      <c r="H147" s="404"/>
      <c r="I147" s="404"/>
      <c r="J147" s="404"/>
    </row>
    <row r="148" spans="1:10">
      <c r="A148" s="403"/>
      <c r="C148" s="394"/>
      <c r="D148" s="404"/>
      <c r="E148" s="404"/>
      <c r="F148" s="404"/>
      <c r="G148" s="404"/>
      <c r="H148" s="404"/>
      <c r="I148" s="404"/>
      <c r="J148" s="404"/>
    </row>
    <row r="149" spans="1:10">
      <c r="A149" s="403"/>
      <c r="C149" s="394"/>
      <c r="D149" s="404"/>
      <c r="E149" s="404"/>
      <c r="F149" s="404"/>
      <c r="G149" s="404"/>
      <c r="H149" s="404"/>
      <c r="I149" s="404"/>
      <c r="J149" s="404"/>
    </row>
    <row r="150" spans="1:10">
      <c r="A150" s="403"/>
      <c r="C150" s="394"/>
      <c r="D150" s="404"/>
      <c r="E150" s="404"/>
      <c r="F150" s="404"/>
      <c r="G150" s="404"/>
      <c r="H150" s="404"/>
      <c r="I150" s="404"/>
      <c r="J150" s="404"/>
    </row>
    <row r="151" spans="1:10">
      <c r="A151" s="403"/>
      <c r="C151" s="394"/>
      <c r="D151" s="404"/>
      <c r="E151" s="404"/>
      <c r="F151" s="404"/>
      <c r="G151" s="404"/>
      <c r="H151" s="404"/>
      <c r="I151" s="404"/>
      <c r="J151" s="404"/>
    </row>
    <row r="152" spans="1:10">
      <c r="A152" s="403"/>
      <c r="C152" s="394"/>
      <c r="D152" s="404"/>
      <c r="E152" s="404"/>
      <c r="F152" s="404"/>
      <c r="G152" s="404"/>
      <c r="H152" s="404"/>
      <c r="I152" s="404"/>
      <c r="J152" s="404"/>
    </row>
    <row r="153" spans="1:10">
      <c r="A153" s="403"/>
      <c r="C153" s="394"/>
      <c r="D153" s="404"/>
      <c r="E153" s="404"/>
      <c r="F153" s="404"/>
      <c r="G153" s="404"/>
      <c r="H153" s="404"/>
      <c r="I153" s="404"/>
      <c r="J153" s="404"/>
    </row>
    <row r="154" spans="1:10">
      <c r="A154" s="403"/>
      <c r="C154" s="394"/>
      <c r="D154" s="404"/>
      <c r="E154" s="404"/>
      <c r="F154" s="404"/>
      <c r="G154" s="404"/>
      <c r="H154" s="404"/>
      <c r="I154" s="404"/>
      <c r="J154" s="404"/>
    </row>
    <row r="155" spans="1:10">
      <c r="A155" s="403"/>
      <c r="C155" s="394"/>
      <c r="D155" s="404"/>
      <c r="E155" s="404"/>
      <c r="F155" s="404"/>
      <c r="G155" s="404"/>
      <c r="H155" s="404"/>
      <c r="I155" s="404"/>
      <c r="J155" s="404"/>
    </row>
    <row r="156" spans="1:10">
      <c r="A156" s="403"/>
      <c r="C156" s="394"/>
      <c r="D156" s="404"/>
      <c r="E156" s="404"/>
      <c r="F156" s="404"/>
      <c r="G156" s="404"/>
      <c r="H156" s="404"/>
      <c r="I156" s="404"/>
      <c r="J156" s="404"/>
    </row>
    <row r="157" spans="1:10">
      <c r="A157" s="403"/>
      <c r="C157" s="394"/>
      <c r="D157" s="404"/>
      <c r="E157" s="404"/>
      <c r="F157" s="404"/>
      <c r="G157" s="404"/>
      <c r="H157" s="404"/>
      <c r="I157" s="404"/>
      <c r="J157" s="404"/>
    </row>
    <row r="158" spans="1:10">
      <c r="A158" s="27"/>
    </row>
    <row r="159" spans="1:10">
      <c r="A159" s="27"/>
    </row>
    <row r="160" spans="1:10">
      <c r="A160" s="27"/>
    </row>
    <row r="161" spans="1:1">
      <c r="A161" s="27"/>
    </row>
    <row r="162" spans="1:1">
      <c r="A162" s="27"/>
    </row>
    <row r="163" spans="1:1">
      <c r="A163" s="27"/>
    </row>
    <row r="164" spans="1:1">
      <c r="A164" s="27"/>
    </row>
    <row r="165" spans="1:1">
      <c r="A165" s="27"/>
    </row>
    <row r="166" spans="1:1">
      <c r="A166" s="27"/>
    </row>
    <row r="167" spans="1:1">
      <c r="A167" s="27"/>
    </row>
    <row r="168" spans="1:1">
      <c r="A168" s="27"/>
    </row>
    <row r="169" spans="1:1">
      <c r="A169" s="27"/>
    </row>
    <row r="170" spans="1:1">
      <c r="A170" s="27"/>
    </row>
    <row r="171" spans="1:1">
      <c r="A171" s="27"/>
    </row>
    <row r="172" spans="1:1">
      <c r="A172" s="27"/>
    </row>
    <row r="173" spans="1:1">
      <c r="A173" s="27"/>
    </row>
    <row r="174" spans="1:1">
      <c r="A174" s="27"/>
    </row>
    <row r="175" spans="1:1">
      <c r="A175" s="27"/>
    </row>
    <row r="176" spans="1:1">
      <c r="A176" s="27"/>
    </row>
    <row r="177" spans="1:1">
      <c r="A177" s="27"/>
    </row>
    <row r="178" spans="1:1">
      <c r="A178" s="27"/>
    </row>
    <row r="179" spans="1:1">
      <c r="A179" s="27"/>
    </row>
    <row r="180" spans="1:1">
      <c r="A180" s="27"/>
    </row>
    <row r="181" spans="1:1">
      <c r="A181" s="27"/>
    </row>
    <row r="182" spans="1:1">
      <c r="A182" s="27"/>
    </row>
    <row r="183" spans="1:1">
      <c r="A183" s="27"/>
    </row>
    <row r="184" spans="1:1">
      <c r="A184" s="27"/>
    </row>
    <row r="185" spans="1:1">
      <c r="A185" s="27"/>
    </row>
    <row r="186" spans="1:1">
      <c r="A186" s="27"/>
    </row>
    <row r="187" spans="1:1">
      <c r="A187" s="27"/>
    </row>
    <row r="188" spans="1:1">
      <c r="A188" s="27"/>
    </row>
    <row r="189" spans="1:1">
      <c r="A189" s="27"/>
    </row>
    <row r="190" spans="1:1">
      <c r="A190" s="27"/>
    </row>
    <row r="191" spans="1:1">
      <c r="A191" s="27"/>
    </row>
    <row r="192" spans="1:1">
      <c r="A192" s="27"/>
    </row>
    <row r="193" spans="1:1">
      <c r="A193" s="27"/>
    </row>
    <row r="194" spans="1:1">
      <c r="A194" s="27"/>
    </row>
    <row r="195" spans="1:1">
      <c r="A195" s="27"/>
    </row>
    <row r="196" spans="1:1">
      <c r="A196" s="27"/>
    </row>
    <row r="197" spans="1:1">
      <c r="A197" s="27"/>
    </row>
    <row r="198" spans="1:1">
      <c r="A198" s="27"/>
    </row>
    <row r="199" spans="1:1">
      <c r="A199" s="27"/>
    </row>
    <row r="200" spans="1:1">
      <c r="A200" s="27"/>
    </row>
    <row r="201" spans="1:1">
      <c r="A201" s="27"/>
    </row>
    <row r="202" spans="1:1">
      <c r="A202" s="27"/>
    </row>
    <row r="203" spans="1:1">
      <c r="A203" s="27"/>
    </row>
    <row r="204" spans="1:1">
      <c r="A204" s="27"/>
    </row>
    <row r="205" spans="1:1">
      <c r="A205" s="27"/>
    </row>
    <row r="206" spans="1:1">
      <c r="A206" s="27"/>
    </row>
    <row r="207" spans="1:1">
      <c r="A207" s="27"/>
    </row>
    <row r="208" spans="1:1">
      <c r="A208" s="27"/>
    </row>
    <row r="209" spans="1:1">
      <c r="A209" s="27"/>
    </row>
    <row r="210" spans="1:1">
      <c r="A210" s="27"/>
    </row>
    <row r="211" spans="1:1">
      <c r="A211" s="27"/>
    </row>
    <row r="212" spans="1:1">
      <c r="A212" s="27"/>
    </row>
    <row r="213" spans="1:1">
      <c r="A213" s="27"/>
    </row>
    <row r="214" spans="1:1">
      <c r="A214" s="27"/>
    </row>
    <row r="215" spans="1:1">
      <c r="A215" s="27"/>
    </row>
    <row r="216" spans="1:1">
      <c r="A216" s="27"/>
    </row>
    <row r="217" spans="1:1">
      <c r="A217" s="27"/>
    </row>
    <row r="218" spans="1:1">
      <c r="A218" s="27"/>
    </row>
    <row r="219" spans="1:1">
      <c r="A219" s="27"/>
    </row>
    <row r="220" spans="1:1">
      <c r="A220" s="27"/>
    </row>
    <row r="221" spans="1:1">
      <c r="A221" s="27"/>
    </row>
    <row r="222" spans="1:1">
      <c r="A222" s="27"/>
    </row>
    <row r="223" spans="1:1">
      <c r="A223" s="27"/>
    </row>
    <row r="224" spans="1:1">
      <c r="A224" s="27"/>
    </row>
    <row r="225" spans="1:1">
      <c r="A225" s="27"/>
    </row>
    <row r="226" spans="1:1">
      <c r="A226" s="27"/>
    </row>
    <row r="227" spans="1:1">
      <c r="A227" s="27"/>
    </row>
    <row r="228" spans="1:1">
      <c r="A228" s="27"/>
    </row>
    <row r="229" spans="1:1">
      <c r="A229" s="27"/>
    </row>
    <row r="230" spans="1:1">
      <c r="A230" s="27"/>
    </row>
    <row r="231" spans="1:1">
      <c r="A231" s="27"/>
    </row>
    <row r="232" spans="1:1">
      <c r="A232" s="27"/>
    </row>
    <row r="233" spans="1:1">
      <c r="A233" s="27"/>
    </row>
    <row r="234" spans="1:1">
      <c r="A234" s="27"/>
    </row>
    <row r="235" spans="1:1">
      <c r="A235" s="27"/>
    </row>
    <row r="236" spans="1:1">
      <c r="A236" s="27"/>
    </row>
    <row r="237" spans="1:1">
      <c r="A237" s="27"/>
    </row>
    <row r="238" spans="1:1">
      <c r="A238" s="27"/>
    </row>
    <row r="239" spans="1:1">
      <c r="A239" s="27"/>
    </row>
    <row r="240" spans="1:1">
      <c r="A240" s="27"/>
    </row>
    <row r="241" spans="1:1">
      <c r="A241" s="27"/>
    </row>
    <row r="242" spans="1:1">
      <c r="A242" s="27"/>
    </row>
    <row r="243" spans="1:1">
      <c r="A243" s="27"/>
    </row>
    <row r="244" spans="1:1">
      <c r="A244" s="27"/>
    </row>
    <row r="245" spans="1:1">
      <c r="A245" s="27"/>
    </row>
    <row r="246" spans="1:1">
      <c r="A246" s="27"/>
    </row>
    <row r="247" spans="1:1">
      <c r="A247" s="27"/>
    </row>
    <row r="248" spans="1:1">
      <c r="A248" s="27"/>
    </row>
    <row r="249" spans="1:1">
      <c r="A249" s="27"/>
    </row>
    <row r="250" spans="1:1">
      <c r="A250" s="27"/>
    </row>
    <row r="251" spans="1:1">
      <c r="A251" s="27"/>
    </row>
    <row r="252" spans="1:1">
      <c r="A252" s="27"/>
    </row>
    <row r="253" spans="1:1">
      <c r="A253" s="27"/>
    </row>
    <row r="254" spans="1:1">
      <c r="A254" s="27"/>
    </row>
    <row r="255" spans="1:1">
      <c r="A255" s="27"/>
    </row>
    <row r="256" spans="1:1">
      <c r="A256" s="27"/>
    </row>
    <row r="257" spans="1:1">
      <c r="A257" s="27"/>
    </row>
    <row r="258" spans="1:1">
      <c r="A258" s="27"/>
    </row>
    <row r="259" spans="1:1">
      <c r="A259" s="27"/>
    </row>
    <row r="260" spans="1:1">
      <c r="A260" s="27"/>
    </row>
    <row r="261" spans="1:1">
      <c r="A261" s="27"/>
    </row>
    <row r="262" spans="1:1">
      <c r="A262" s="27"/>
    </row>
    <row r="263" spans="1:1">
      <c r="A263" s="27"/>
    </row>
    <row r="264" spans="1:1">
      <c r="A264" s="27"/>
    </row>
    <row r="265" spans="1:1">
      <c r="A265" s="27"/>
    </row>
    <row r="266" spans="1:1">
      <c r="A266" s="27"/>
    </row>
    <row r="267" spans="1:1">
      <c r="A267" s="27"/>
    </row>
    <row r="268" spans="1:1">
      <c r="A268" s="27"/>
    </row>
    <row r="269" spans="1:1">
      <c r="A269" s="27"/>
    </row>
    <row r="270" spans="1:1">
      <c r="A270" s="27"/>
    </row>
    <row r="271" spans="1:1">
      <c r="A271" s="27"/>
    </row>
    <row r="272" spans="1:1">
      <c r="A272" s="27"/>
    </row>
    <row r="273" spans="1:1">
      <c r="A273" s="27"/>
    </row>
    <row r="274" spans="1:1">
      <c r="A274" s="27"/>
    </row>
    <row r="275" spans="1:1">
      <c r="A275" s="27"/>
    </row>
    <row r="276" spans="1:1">
      <c r="A276" s="27"/>
    </row>
    <row r="277" spans="1:1">
      <c r="A277" s="27"/>
    </row>
    <row r="278" spans="1:1">
      <c r="A278" s="27"/>
    </row>
    <row r="279" spans="1:1">
      <c r="A279" s="27"/>
    </row>
    <row r="280" spans="1:1">
      <c r="A280" s="27"/>
    </row>
    <row r="281" spans="1:1">
      <c r="A281" s="27"/>
    </row>
    <row r="282" spans="1:1">
      <c r="A282" s="27"/>
    </row>
    <row r="283" spans="1:1">
      <c r="A283" s="27"/>
    </row>
    <row r="284" spans="1:1">
      <c r="A284" s="27"/>
    </row>
    <row r="285" spans="1:1">
      <c r="A285" s="27"/>
    </row>
    <row r="286" spans="1:1">
      <c r="A286" s="27"/>
    </row>
    <row r="287" spans="1:1">
      <c r="A287" s="27"/>
    </row>
    <row r="288" spans="1:1">
      <c r="A288" s="27"/>
    </row>
    <row r="289" spans="1:1">
      <c r="A289" s="27"/>
    </row>
    <row r="290" spans="1:1">
      <c r="A290" s="27"/>
    </row>
    <row r="291" spans="1:1">
      <c r="A291" s="27"/>
    </row>
    <row r="292" spans="1:1">
      <c r="A292" s="27"/>
    </row>
    <row r="293" spans="1:1">
      <c r="A293" s="27"/>
    </row>
    <row r="294" spans="1:1">
      <c r="A294" s="27"/>
    </row>
    <row r="295" spans="1:1">
      <c r="A295" s="27"/>
    </row>
    <row r="296" spans="1:1">
      <c r="A296" s="27"/>
    </row>
    <row r="297" spans="1:1">
      <c r="A297" s="27"/>
    </row>
    <row r="298" spans="1:1">
      <c r="A298" s="27"/>
    </row>
    <row r="299" spans="1:1">
      <c r="A299" s="27"/>
    </row>
    <row r="300" spans="1:1">
      <c r="A300" s="27"/>
    </row>
    <row r="301" spans="1:1">
      <c r="A301" s="27"/>
    </row>
    <row r="302" spans="1:1">
      <c r="A302" s="27"/>
    </row>
    <row r="303" spans="1:1">
      <c r="A303" s="27"/>
    </row>
    <row r="304" spans="1:1">
      <c r="A304" s="27"/>
    </row>
    <row r="305" spans="1:1">
      <c r="A305" s="27"/>
    </row>
    <row r="306" spans="1:1">
      <c r="A306" s="27"/>
    </row>
    <row r="307" spans="1:1">
      <c r="A307" s="27"/>
    </row>
    <row r="308" spans="1:1">
      <c r="A308" s="27"/>
    </row>
    <row r="309" spans="1:1">
      <c r="A309" s="27"/>
    </row>
    <row r="310" spans="1:1">
      <c r="A310" s="27"/>
    </row>
    <row r="311" spans="1:1">
      <c r="A311" s="27"/>
    </row>
    <row r="312" spans="1:1">
      <c r="A312" s="27"/>
    </row>
    <row r="313" spans="1:1">
      <c r="A313" s="27"/>
    </row>
    <row r="314" spans="1:1">
      <c r="A314" s="27"/>
    </row>
    <row r="315" spans="1:1">
      <c r="A315" s="27"/>
    </row>
    <row r="316" spans="1:1">
      <c r="A316" s="27"/>
    </row>
    <row r="317" spans="1:1">
      <c r="A317" s="27"/>
    </row>
    <row r="318" spans="1:1">
      <c r="A318" s="27"/>
    </row>
    <row r="319" spans="1:1">
      <c r="A319" s="27"/>
    </row>
    <row r="320" spans="1:1">
      <c r="A320" s="27"/>
    </row>
    <row r="321" spans="1:1">
      <c r="A321" s="27"/>
    </row>
    <row r="322" spans="1:1">
      <c r="A322" s="27"/>
    </row>
    <row r="323" spans="1:1">
      <c r="A323" s="27"/>
    </row>
    <row r="324" spans="1:1">
      <c r="A324" s="27"/>
    </row>
  </sheetData>
  <sheetProtection algorithmName="SHA-512" hashValue="nRTs5182LCZNPYx7GNdTZEkJ1xiLX4RKZhh585GXvkHjIqQ3phuXPP+0DqooAZT6SZWMfQlRCSHmq6cRIKINMw==" saltValue="hsEmn7T7Lg/ze7yv5zoBSw==" spinCount="100000" sheet="1" objects="1" scenarios="1" selectLockedCells="1" selectUnlockedCells="1"/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C99:F99"/>
    <mergeCell ref="H99:J99"/>
    <mergeCell ref="A7:K7"/>
    <mergeCell ref="C98:F98"/>
    <mergeCell ref="H98:J98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48" orientation="landscape" r:id="rId1"/>
  <headerFooter alignWithMargins="0"/>
  <ignoredErrors>
    <ignoredError sqref="F9 F52 F95 F48 F18 F70 F64 F59 F75 F40 F82:F85 F86:F87 F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12"/>
  <sheetViews>
    <sheetView view="pageBreakPreview" zoomScale="80" zoomScaleNormal="69" zoomScaleSheetLayoutView="80" workbookViewId="0">
      <selection activeCell="R63" sqref="R63"/>
    </sheetView>
  </sheetViews>
  <sheetFormatPr defaultColWidth="9.109375" defaultRowHeight="18"/>
  <cols>
    <col min="1" max="1" width="70.6640625" style="1" customWidth="1"/>
    <col min="2" max="2" width="14.5546875" style="14" customWidth="1"/>
    <col min="3" max="3" width="17.6640625" style="14" customWidth="1"/>
    <col min="4" max="4" width="18.44140625" style="14" customWidth="1"/>
    <col min="5" max="5" width="17.6640625" style="14" customWidth="1"/>
    <col min="6" max="6" width="17.44140625" style="14" customWidth="1"/>
    <col min="7" max="10" width="16.6640625" style="1" customWidth="1"/>
    <col min="11" max="11" width="9.6640625" style="1" bestFit="1" customWidth="1"/>
    <col min="12" max="16384" width="9.109375" style="1"/>
  </cols>
  <sheetData>
    <row r="1" spans="1:11" ht="14.25" customHeight="1"/>
    <row r="2" spans="1:11" ht="20.399999999999999">
      <c r="A2" s="525" t="s">
        <v>406</v>
      </c>
      <c r="B2" s="525"/>
      <c r="C2" s="525"/>
      <c r="D2" s="525"/>
      <c r="E2" s="525"/>
      <c r="F2" s="525"/>
      <c r="G2" s="525"/>
      <c r="H2" s="525"/>
    </row>
    <row r="3" spans="1:11" ht="15" customHeight="1">
      <c r="A3" s="248"/>
      <c r="B3" s="50"/>
      <c r="C3" s="248"/>
      <c r="D3" s="248"/>
      <c r="E3" s="248"/>
      <c r="F3" s="50"/>
      <c r="G3" s="248"/>
      <c r="H3" s="248"/>
      <c r="J3" s="159" t="s">
        <v>403</v>
      </c>
    </row>
    <row r="4" spans="1:11" ht="41.25" customHeight="1">
      <c r="A4" s="494" t="s">
        <v>164</v>
      </c>
      <c r="B4" s="492" t="s">
        <v>17</v>
      </c>
      <c r="C4" s="492" t="s">
        <v>631</v>
      </c>
      <c r="D4" s="492" t="s">
        <v>632</v>
      </c>
      <c r="E4" s="526" t="s">
        <v>633</v>
      </c>
      <c r="F4" s="492" t="s">
        <v>634</v>
      </c>
      <c r="G4" s="492" t="s">
        <v>329</v>
      </c>
      <c r="H4" s="492"/>
      <c r="I4" s="492"/>
      <c r="J4" s="492"/>
    </row>
    <row r="5" spans="1:11" ht="66.75" customHeight="1">
      <c r="A5" s="494"/>
      <c r="B5" s="492"/>
      <c r="C5" s="492"/>
      <c r="D5" s="492"/>
      <c r="E5" s="526"/>
      <c r="F5" s="492"/>
      <c r="G5" s="256" t="s">
        <v>126</v>
      </c>
      <c r="H5" s="256" t="s">
        <v>127</v>
      </c>
      <c r="I5" s="256" t="s">
        <v>128</v>
      </c>
      <c r="J5" s="256" t="s">
        <v>63</v>
      </c>
    </row>
    <row r="6" spans="1:11" ht="23.25" customHeight="1">
      <c r="A6" s="247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47">
        <v>9</v>
      </c>
      <c r="J6" s="247">
        <v>10</v>
      </c>
    </row>
    <row r="7" spans="1:11" ht="56.25" customHeight="1">
      <c r="A7" s="320" t="s">
        <v>408</v>
      </c>
      <c r="B7" s="406">
        <v>1018</v>
      </c>
      <c r="C7" s="227">
        <f>SUM(C8:C45)</f>
        <v>-13470</v>
      </c>
      <c r="D7" s="227">
        <f>SUM(D8:D45)</f>
        <v>-12372</v>
      </c>
      <c r="E7" s="227">
        <f>SUM(E8:E45)</f>
        <v>-12372</v>
      </c>
      <c r="F7" s="227">
        <f t="shared" ref="F7:J7" si="0">SUM(F8:F45)</f>
        <v>-16800</v>
      </c>
      <c r="G7" s="227">
        <f t="shared" si="0"/>
        <v>-4200</v>
      </c>
      <c r="H7" s="227">
        <f t="shared" si="0"/>
        <v>-4200</v>
      </c>
      <c r="I7" s="227">
        <f t="shared" si="0"/>
        <v>-4200</v>
      </c>
      <c r="J7" s="227">
        <f t="shared" si="0"/>
        <v>-4200</v>
      </c>
      <c r="K7" s="407"/>
    </row>
    <row r="8" spans="1:11" ht="22.5" customHeight="1">
      <c r="A8" s="408" t="s">
        <v>668</v>
      </c>
      <c r="B8" s="406"/>
      <c r="C8" s="324">
        <v>-4923</v>
      </c>
      <c r="D8" s="350">
        <v>-4896</v>
      </c>
      <c r="E8" s="350">
        <f t="shared" ref="E8:E59" si="1">D8</f>
        <v>-4896</v>
      </c>
      <c r="F8" s="350">
        <f t="shared" ref="F8:F45" si="2">SUM(G8:J8)</f>
        <v>-5312</v>
      </c>
      <c r="G8" s="350">
        <v>-1328</v>
      </c>
      <c r="H8" s="350">
        <v>-1328</v>
      </c>
      <c r="I8" s="350">
        <v>-1328</v>
      </c>
      <c r="J8" s="350">
        <v>-1328</v>
      </c>
      <c r="K8" s="407"/>
    </row>
    <row r="9" spans="1:11" ht="22.5" customHeight="1">
      <c r="A9" s="408" t="s">
        <v>287</v>
      </c>
      <c r="B9" s="406"/>
      <c r="C9" s="324">
        <v>-151</v>
      </c>
      <c r="D9" s="350">
        <v>-152</v>
      </c>
      <c r="E9" s="350">
        <f t="shared" si="1"/>
        <v>-152</v>
      </c>
      <c r="F9" s="350">
        <f t="shared" si="2"/>
        <v>-164</v>
      </c>
      <c r="G9" s="350">
        <v>-41</v>
      </c>
      <c r="H9" s="350">
        <v>-41</v>
      </c>
      <c r="I9" s="350">
        <v>-41</v>
      </c>
      <c r="J9" s="350">
        <v>-41</v>
      </c>
      <c r="K9" s="407"/>
    </row>
    <row r="10" spans="1:11" ht="22.5" customHeight="1">
      <c r="A10" s="408" t="s">
        <v>520</v>
      </c>
      <c r="B10" s="406"/>
      <c r="C10" s="324">
        <v>-8</v>
      </c>
      <c r="D10" s="350">
        <v>-12</v>
      </c>
      <c r="E10" s="350">
        <f t="shared" si="1"/>
        <v>-12</v>
      </c>
      <c r="F10" s="350">
        <f t="shared" si="2"/>
        <v>-12</v>
      </c>
      <c r="G10" s="350">
        <v>-3</v>
      </c>
      <c r="H10" s="350">
        <v>-3</v>
      </c>
      <c r="I10" s="350">
        <v>-3</v>
      </c>
      <c r="J10" s="350">
        <v>-3</v>
      </c>
      <c r="K10" s="407"/>
    </row>
    <row r="11" spans="1:11" ht="22.5" hidden="1" customHeight="1">
      <c r="A11" s="408" t="s">
        <v>521</v>
      </c>
      <c r="B11" s="406"/>
      <c r="C11" s="324"/>
      <c r="D11" s="350"/>
      <c r="E11" s="350">
        <f t="shared" si="1"/>
        <v>0</v>
      </c>
      <c r="F11" s="350">
        <f t="shared" si="2"/>
        <v>0</v>
      </c>
      <c r="G11" s="350"/>
      <c r="H11" s="350"/>
      <c r="I11" s="350"/>
      <c r="J11" s="350"/>
      <c r="K11" s="407"/>
    </row>
    <row r="12" spans="1:11" ht="22.5" hidden="1" customHeight="1">
      <c r="A12" s="408" t="s">
        <v>522</v>
      </c>
      <c r="B12" s="406"/>
      <c r="C12" s="324"/>
      <c r="D12" s="318"/>
      <c r="E12" s="350">
        <f t="shared" si="1"/>
        <v>0</v>
      </c>
      <c r="F12" s="350">
        <f t="shared" si="2"/>
        <v>0</v>
      </c>
      <c r="G12" s="350">
        <v>0</v>
      </c>
      <c r="H12" s="350">
        <v>0</v>
      </c>
      <c r="I12" s="350">
        <v>0</v>
      </c>
      <c r="J12" s="350">
        <v>0</v>
      </c>
      <c r="K12" s="407"/>
    </row>
    <row r="13" spans="1:11" ht="22.5" hidden="1" customHeight="1">
      <c r="A13" s="408" t="s">
        <v>584</v>
      </c>
      <c r="B13" s="406"/>
      <c r="C13" s="324"/>
      <c r="D13" s="350"/>
      <c r="E13" s="350">
        <f t="shared" si="1"/>
        <v>0</v>
      </c>
      <c r="F13" s="350">
        <f t="shared" si="2"/>
        <v>0</v>
      </c>
      <c r="G13" s="350">
        <v>0</v>
      </c>
      <c r="H13" s="350">
        <v>0</v>
      </c>
      <c r="I13" s="350">
        <v>0</v>
      </c>
      <c r="J13" s="350">
        <v>0</v>
      </c>
      <c r="K13" s="407"/>
    </row>
    <row r="14" spans="1:11" ht="22.5" customHeight="1">
      <c r="A14" s="408" t="s">
        <v>523</v>
      </c>
      <c r="B14" s="406"/>
      <c r="C14" s="324">
        <v>-13</v>
      </c>
      <c r="D14" s="350">
        <v>-16</v>
      </c>
      <c r="E14" s="350">
        <f t="shared" si="1"/>
        <v>-16</v>
      </c>
      <c r="F14" s="350">
        <f t="shared" si="2"/>
        <v>-12</v>
      </c>
      <c r="G14" s="350">
        <v>-3</v>
      </c>
      <c r="H14" s="350">
        <v>-3</v>
      </c>
      <c r="I14" s="350">
        <v>-3</v>
      </c>
      <c r="J14" s="350">
        <v>-3</v>
      </c>
      <c r="K14" s="407"/>
    </row>
    <row r="15" spans="1:11" ht="22.5" customHeight="1">
      <c r="A15" s="408" t="s">
        <v>574</v>
      </c>
      <c r="B15" s="406"/>
      <c r="C15" s="324">
        <v>-6</v>
      </c>
      <c r="D15" s="350">
        <v>-8</v>
      </c>
      <c r="E15" s="350">
        <f t="shared" si="1"/>
        <v>-8</v>
      </c>
      <c r="F15" s="350">
        <f t="shared" si="2"/>
        <v>-4</v>
      </c>
      <c r="G15" s="350">
        <v>-1</v>
      </c>
      <c r="H15" s="350">
        <v>-1</v>
      </c>
      <c r="I15" s="350">
        <v>-1</v>
      </c>
      <c r="J15" s="350">
        <v>-1</v>
      </c>
      <c r="K15" s="407"/>
    </row>
    <row r="16" spans="1:11" ht="22.5" customHeight="1">
      <c r="A16" s="408" t="s">
        <v>575</v>
      </c>
      <c r="B16" s="406"/>
      <c r="C16" s="324">
        <v>-14</v>
      </c>
      <c r="D16" s="350">
        <v>-12</v>
      </c>
      <c r="E16" s="350">
        <f t="shared" si="1"/>
        <v>-12</v>
      </c>
      <c r="F16" s="350">
        <f t="shared" si="2"/>
        <v>-20</v>
      </c>
      <c r="G16" s="350">
        <v>-5</v>
      </c>
      <c r="H16" s="350">
        <v>-5</v>
      </c>
      <c r="I16" s="350">
        <v>-5</v>
      </c>
      <c r="J16" s="350">
        <v>-5</v>
      </c>
      <c r="K16" s="407"/>
    </row>
    <row r="17" spans="1:11" ht="22.5" customHeight="1">
      <c r="A17" s="408" t="s">
        <v>585</v>
      </c>
      <c r="B17" s="406"/>
      <c r="C17" s="324">
        <v>-251</v>
      </c>
      <c r="D17" s="350">
        <v>-160</v>
      </c>
      <c r="E17" s="350">
        <f t="shared" si="1"/>
        <v>-160</v>
      </c>
      <c r="F17" s="350">
        <f t="shared" si="2"/>
        <v>-232</v>
      </c>
      <c r="G17" s="350">
        <v>-58</v>
      </c>
      <c r="H17" s="350">
        <v>-58</v>
      </c>
      <c r="I17" s="350">
        <v>-58</v>
      </c>
      <c r="J17" s="350">
        <v>-58</v>
      </c>
      <c r="K17" s="407"/>
    </row>
    <row r="18" spans="1:11" ht="22.5" customHeight="1">
      <c r="A18" s="408" t="s">
        <v>576</v>
      </c>
      <c r="B18" s="406"/>
      <c r="C18" s="324">
        <v>-41</v>
      </c>
      <c r="D18" s="350"/>
      <c r="E18" s="350"/>
      <c r="F18" s="350">
        <f t="shared" si="2"/>
        <v>0</v>
      </c>
      <c r="G18" s="350"/>
      <c r="H18" s="350"/>
      <c r="I18" s="350"/>
      <c r="J18" s="350"/>
      <c r="K18" s="407"/>
    </row>
    <row r="19" spans="1:11" ht="22.5" hidden="1" customHeight="1">
      <c r="A19" s="408" t="s">
        <v>586</v>
      </c>
      <c r="B19" s="406"/>
      <c r="C19" s="324"/>
      <c r="D19" s="350"/>
      <c r="E19" s="350">
        <f t="shared" si="1"/>
        <v>0</v>
      </c>
      <c r="F19" s="350">
        <f t="shared" si="2"/>
        <v>0</v>
      </c>
      <c r="G19" s="350"/>
      <c r="H19" s="350"/>
      <c r="I19" s="350"/>
      <c r="J19" s="350"/>
      <c r="K19" s="407"/>
    </row>
    <row r="20" spans="1:11" ht="22.5" hidden="1" customHeight="1">
      <c r="A20" s="408" t="s">
        <v>588</v>
      </c>
      <c r="B20" s="406"/>
      <c r="C20" s="324"/>
      <c r="D20" s="350"/>
      <c r="E20" s="350">
        <f t="shared" si="1"/>
        <v>0</v>
      </c>
      <c r="F20" s="350">
        <f t="shared" si="2"/>
        <v>0</v>
      </c>
      <c r="G20" s="350"/>
      <c r="H20" s="350"/>
      <c r="I20" s="350"/>
      <c r="J20" s="350"/>
      <c r="K20" s="407"/>
    </row>
    <row r="21" spans="1:11" ht="22.5" customHeight="1">
      <c r="A21" s="408" t="s">
        <v>524</v>
      </c>
      <c r="B21" s="406"/>
      <c r="C21" s="324">
        <v>-10</v>
      </c>
      <c r="D21" s="350"/>
      <c r="E21" s="350"/>
      <c r="F21" s="350">
        <f t="shared" si="2"/>
        <v>0</v>
      </c>
      <c r="G21" s="350"/>
      <c r="H21" s="350"/>
      <c r="I21" s="350"/>
      <c r="J21" s="350"/>
      <c r="K21" s="407"/>
    </row>
    <row r="22" spans="1:11" ht="22.5" customHeight="1">
      <c r="A22" s="408" t="s">
        <v>525</v>
      </c>
      <c r="B22" s="406"/>
      <c r="C22" s="324">
        <v>-5</v>
      </c>
      <c r="D22" s="350">
        <v>-8</v>
      </c>
      <c r="E22" s="350">
        <f t="shared" si="1"/>
        <v>-8</v>
      </c>
      <c r="F22" s="350">
        <f t="shared" si="2"/>
        <v>-8</v>
      </c>
      <c r="G22" s="350">
        <v>-2</v>
      </c>
      <c r="H22" s="350">
        <v>-2</v>
      </c>
      <c r="I22" s="350">
        <v>-2</v>
      </c>
      <c r="J22" s="350">
        <v>-2</v>
      </c>
      <c r="K22" s="407"/>
    </row>
    <row r="23" spans="1:11" ht="22.5" customHeight="1">
      <c r="A23" s="408" t="s">
        <v>526</v>
      </c>
      <c r="B23" s="406"/>
      <c r="C23" s="324">
        <v>-12</v>
      </c>
      <c r="D23" s="350">
        <v>-4</v>
      </c>
      <c r="E23" s="350">
        <f t="shared" si="1"/>
        <v>-4</v>
      </c>
      <c r="F23" s="350">
        <f t="shared" si="2"/>
        <v>0</v>
      </c>
      <c r="G23" s="350"/>
      <c r="H23" s="350"/>
      <c r="I23" s="350"/>
      <c r="J23" s="350"/>
      <c r="K23" s="407"/>
    </row>
    <row r="24" spans="1:11" ht="22.5" customHeight="1">
      <c r="A24" s="408" t="s">
        <v>527</v>
      </c>
      <c r="B24" s="406"/>
      <c r="C24" s="324">
        <v>-719</v>
      </c>
      <c r="D24" s="350">
        <v>-764</v>
      </c>
      <c r="E24" s="350">
        <f t="shared" si="1"/>
        <v>-764</v>
      </c>
      <c r="F24" s="350">
        <f t="shared" si="2"/>
        <v>-1020</v>
      </c>
      <c r="G24" s="350">
        <v>-255</v>
      </c>
      <c r="H24" s="350">
        <v>-255</v>
      </c>
      <c r="I24" s="350">
        <v>-255</v>
      </c>
      <c r="J24" s="350">
        <v>-255</v>
      </c>
      <c r="K24" s="407"/>
    </row>
    <row r="25" spans="1:11" ht="22.5" customHeight="1">
      <c r="A25" s="408" t="s">
        <v>528</v>
      </c>
      <c r="B25" s="406"/>
      <c r="C25" s="324">
        <v>-3</v>
      </c>
      <c r="D25" s="350">
        <v>-4</v>
      </c>
      <c r="E25" s="350">
        <f t="shared" si="1"/>
        <v>-4</v>
      </c>
      <c r="F25" s="350">
        <f t="shared" si="2"/>
        <v>-4</v>
      </c>
      <c r="G25" s="350">
        <v>-1</v>
      </c>
      <c r="H25" s="350">
        <v>-1</v>
      </c>
      <c r="I25" s="350">
        <v>-1</v>
      </c>
      <c r="J25" s="350">
        <v>-1</v>
      </c>
      <c r="K25" s="407"/>
    </row>
    <row r="26" spans="1:11" ht="22.5" hidden="1" customHeight="1">
      <c r="A26" s="408" t="s">
        <v>529</v>
      </c>
      <c r="B26" s="406"/>
      <c r="C26" s="324"/>
      <c r="D26" s="350"/>
      <c r="E26" s="350"/>
      <c r="F26" s="350">
        <f t="shared" si="2"/>
        <v>0</v>
      </c>
      <c r="G26" s="350"/>
      <c r="H26" s="350"/>
      <c r="I26" s="350"/>
      <c r="J26" s="350"/>
      <c r="K26" s="407"/>
    </row>
    <row r="27" spans="1:11" ht="22.5" customHeight="1">
      <c r="A27" s="408" t="s">
        <v>530</v>
      </c>
      <c r="B27" s="406"/>
      <c r="C27" s="324">
        <v>-3</v>
      </c>
      <c r="D27" s="350">
        <v>-4</v>
      </c>
      <c r="E27" s="350">
        <v>-4</v>
      </c>
      <c r="F27" s="350">
        <f t="shared" si="2"/>
        <v>0</v>
      </c>
      <c r="G27" s="350"/>
      <c r="H27" s="350"/>
      <c r="I27" s="350"/>
      <c r="J27" s="350"/>
      <c r="K27" s="407"/>
    </row>
    <row r="28" spans="1:11" ht="22.5" hidden="1" customHeight="1">
      <c r="A28" s="408" t="s">
        <v>577</v>
      </c>
      <c r="B28" s="406"/>
      <c r="C28" s="324"/>
      <c r="D28" s="350"/>
      <c r="E28" s="350"/>
      <c r="F28" s="350">
        <f t="shared" si="2"/>
        <v>0</v>
      </c>
      <c r="G28" s="350"/>
      <c r="H28" s="350"/>
      <c r="I28" s="350"/>
      <c r="J28" s="350"/>
      <c r="K28" s="407"/>
    </row>
    <row r="29" spans="1:11" ht="22.5" hidden="1" customHeight="1">
      <c r="A29" s="408" t="s">
        <v>578</v>
      </c>
      <c r="B29" s="406"/>
      <c r="C29" s="324"/>
      <c r="D29" s="350"/>
      <c r="E29" s="350">
        <f t="shared" si="1"/>
        <v>0</v>
      </c>
      <c r="F29" s="350">
        <f t="shared" si="2"/>
        <v>0</v>
      </c>
      <c r="G29" s="350"/>
      <c r="H29" s="350"/>
      <c r="I29" s="350"/>
      <c r="J29" s="350"/>
      <c r="K29" s="407"/>
    </row>
    <row r="30" spans="1:11" ht="35.25" customHeight="1">
      <c r="A30" s="409" t="s">
        <v>597</v>
      </c>
      <c r="B30" s="406"/>
      <c r="C30" s="324">
        <v>-3635</v>
      </c>
      <c r="D30" s="350">
        <v>-3612</v>
      </c>
      <c r="E30" s="350">
        <f t="shared" si="1"/>
        <v>-3612</v>
      </c>
      <c r="F30" s="350">
        <f t="shared" si="2"/>
        <v>-5680</v>
      </c>
      <c r="G30" s="350">
        <v>-1420</v>
      </c>
      <c r="H30" s="350">
        <v>-1420</v>
      </c>
      <c r="I30" s="350">
        <v>-1420</v>
      </c>
      <c r="J30" s="350">
        <v>-1420</v>
      </c>
      <c r="K30" s="407"/>
    </row>
    <row r="31" spans="1:11" ht="22.5" hidden="1" customHeight="1">
      <c r="A31" s="408" t="s">
        <v>531</v>
      </c>
      <c r="B31" s="406"/>
      <c r="C31" s="324"/>
      <c r="D31" s="350"/>
      <c r="E31" s="350">
        <f t="shared" si="1"/>
        <v>0</v>
      </c>
      <c r="F31" s="350">
        <f t="shared" si="2"/>
        <v>0</v>
      </c>
      <c r="G31" s="350"/>
      <c r="H31" s="350"/>
      <c r="I31" s="350"/>
      <c r="J31" s="350"/>
      <c r="K31" s="407"/>
    </row>
    <row r="32" spans="1:11" ht="22.5" hidden="1" customHeight="1">
      <c r="A32" s="408" t="s">
        <v>622</v>
      </c>
      <c r="B32" s="406"/>
      <c r="C32" s="324"/>
      <c r="D32" s="350"/>
      <c r="E32" s="350"/>
      <c r="F32" s="350">
        <f t="shared" si="2"/>
        <v>0</v>
      </c>
      <c r="G32" s="350"/>
      <c r="H32" s="350"/>
      <c r="I32" s="350"/>
      <c r="J32" s="350"/>
      <c r="K32" s="407"/>
    </row>
    <row r="33" spans="1:11" ht="22.5" customHeight="1">
      <c r="A33" s="408" t="s">
        <v>579</v>
      </c>
      <c r="B33" s="406"/>
      <c r="C33" s="324">
        <v>-34</v>
      </c>
      <c r="D33" s="350">
        <v>-40</v>
      </c>
      <c r="E33" s="350">
        <f t="shared" si="1"/>
        <v>-40</v>
      </c>
      <c r="F33" s="350">
        <f t="shared" si="2"/>
        <v>-56</v>
      </c>
      <c r="G33" s="350">
        <v>-14</v>
      </c>
      <c r="H33" s="350">
        <v>-14</v>
      </c>
      <c r="I33" s="350">
        <v>-14</v>
      </c>
      <c r="J33" s="350">
        <v>-14</v>
      </c>
      <c r="K33" s="407"/>
    </row>
    <row r="34" spans="1:11" ht="22.5" customHeight="1">
      <c r="A34" s="408" t="s">
        <v>627</v>
      </c>
      <c r="B34" s="406"/>
      <c r="C34" s="324">
        <v>-7</v>
      </c>
      <c r="D34" s="350"/>
      <c r="E34" s="350"/>
      <c r="F34" s="350">
        <f t="shared" si="2"/>
        <v>0</v>
      </c>
      <c r="G34" s="350"/>
      <c r="H34" s="350"/>
      <c r="I34" s="350"/>
      <c r="J34" s="350"/>
      <c r="K34" s="407"/>
    </row>
    <row r="35" spans="1:11" ht="22.5" customHeight="1">
      <c r="A35" s="408" t="s">
        <v>532</v>
      </c>
      <c r="B35" s="406"/>
      <c r="C35" s="324">
        <v>-1</v>
      </c>
      <c r="D35" s="350"/>
      <c r="E35" s="350"/>
      <c r="F35" s="350">
        <f t="shared" si="2"/>
        <v>0</v>
      </c>
      <c r="G35" s="350"/>
      <c r="H35" s="350"/>
      <c r="I35" s="350"/>
      <c r="J35" s="350"/>
      <c r="K35" s="407"/>
    </row>
    <row r="36" spans="1:11" ht="22.5" customHeight="1">
      <c r="A36" s="408" t="s">
        <v>589</v>
      </c>
      <c r="B36" s="406"/>
      <c r="C36" s="324"/>
      <c r="D36" s="350">
        <v>-16</v>
      </c>
      <c r="E36" s="350">
        <f t="shared" si="1"/>
        <v>-16</v>
      </c>
      <c r="F36" s="350">
        <f t="shared" si="2"/>
        <v>-24</v>
      </c>
      <c r="G36" s="350">
        <v>-6</v>
      </c>
      <c r="H36" s="350">
        <v>-6</v>
      </c>
      <c r="I36" s="350">
        <v>-6</v>
      </c>
      <c r="J36" s="350">
        <v>-6</v>
      </c>
      <c r="K36" s="407"/>
    </row>
    <row r="37" spans="1:11" ht="22.5" hidden="1" customHeight="1">
      <c r="A37" s="408" t="s">
        <v>532</v>
      </c>
      <c r="B37" s="406"/>
      <c r="C37" s="324"/>
      <c r="D37" s="350"/>
      <c r="E37" s="350">
        <f t="shared" si="1"/>
        <v>0</v>
      </c>
      <c r="F37" s="350"/>
      <c r="G37" s="350"/>
      <c r="H37" s="350"/>
      <c r="I37" s="350"/>
      <c r="J37" s="350"/>
      <c r="K37" s="407"/>
    </row>
    <row r="38" spans="1:11" ht="34.5" hidden="1" customHeight="1">
      <c r="A38" s="409" t="s">
        <v>623</v>
      </c>
      <c r="B38" s="406"/>
      <c r="C38" s="324"/>
      <c r="D38" s="350"/>
      <c r="E38" s="350"/>
      <c r="F38" s="350">
        <f t="shared" si="2"/>
        <v>0</v>
      </c>
      <c r="G38" s="350"/>
      <c r="H38" s="350"/>
      <c r="I38" s="350"/>
      <c r="J38" s="350"/>
      <c r="K38" s="407"/>
    </row>
    <row r="39" spans="1:11" ht="22.5" customHeight="1">
      <c r="A39" s="315" t="s">
        <v>533</v>
      </c>
      <c r="B39" s="406"/>
      <c r="C39" s="350">
        <v>-1</v>
      </c>
      <c r="D39" s="350">
        <v>-4</v>
      </c>
      <c r="E39" s="350">
        <f t="shared" si="1"/>
        <v>-4</v>
      </c>
      <c r="F39" s="350">
        <f t="shared" si="2"/>
        <v>0</v>
      </c>
      <c r="G39" s="350"/>
      <c r="H39" s="350"/>
      <c r="I39" s="350"/>
      <c r="J39" s="350"/>
      <c r="K39" s="407"/>
    </row>
    <row r="40" spans="1:11" ht="22.5" customHeight="1">
      <c r="A40" s="315" t="s">
        <v>612</v>
      </c>
      <c r="B40" s="406"/>
      <c r="C40" s="350">
        <v>-1</v>
      </c>
      <c r="D40" s="350"/>
      <c r="E40" s="350"/>
      <c r="F40" s="350"/>
      <c r="G40" s="350"/>
      <c r="H40" s="350"/>
      <c r="I40" s="350"/>
      <c r="J40" s="350"/>
      <c r="K40" s="407"/>
    </row>
    <row r="41" spans="1:11" ht="22.5" customHeight="1">
      <c r="A41" s="315" t="s">
        <v>613</v>
      </c>
      <c r="B41" s="406"/>
      <c r="C41" s="350">
        <v>-49</v>
      </c>
      <c r="D41" s="350"/>
      <c r="E41" s="350"/>
      <c r="F41" s="350"/>
      <c r="G41" s="350"/>
      <c r="H41" s="350"/>
      <c r="I41" s="350"/>
      <c r="J41" s="350"/>
      <c r="K41" s="407"/>
    </row>
    <row r="42" spans="1:11" ht="22.5" customHeight="1">
      <c r="A42" s="315" t="s">
        <v>635</v>
      </c>
      <c r="B42" s="406"/>
      <c r="C42" s="350">
        <v>-28</v>
      </c>
      <c r="D42" s="350"/>
      <c r="E42" s="350"/>
      <c r="F42" s="350"/>
      <c r="G42" s="350"/>
      <c r="H42" s="350"/>
      <c r="I42" s="350"/>
      <c r="J42" s="350"/>
      <c r="K42" s="407"/>
    </row>
    <row r="43" spans="1:11" ht="22.5" customHeight="1">
      <c r="A43" s="315" t="s">
        <v>614</v>
      </c>
      <c r="B43" s="406"/>
      <c r="C43" s="350">
        <v>-1</v>
      </c>
      <c r="D43" s="350"/>
      <c r="E43" s="350"/>
      <c r="F43" s="350"/>
      <c r="G43" s="350"/>
      <c r="H43" s="350"/>
      <c r="I43" s="350"/>
      <c r="J43" s="350"/>
      <c r="K43" s="407"/>
    </row>
    <row r="44" spans="1:11" ht="22.5" customHeight="1">
      <c r="A44" s="315" t="s">
        <v>609</v>
      </c>
      <c r="B44" s="406"/>
      <c r="C44" s="350">
        <v>-5</v>
      </c>
      <c r="D44" s="350">
        <v>-4</v>
      </c>
      <c r="E44" s="350">
        <v>-4</v>
      </c>
      <c r="F44" s="350">
        <f t="shared" si="2"/>
        <v>-16</v>
      </c>
      <c r="G44" s="350">
        <v>-4</v>
      </c>
      <c r="H44" s="350">
        <v>-4</v>
      </c>
      <c r="I44" s="350">
        <v>-4</v>
      </c>
      <c r="J44" s="350">
        <v>-4</v>
      </c>
      <c r="K44" s="407"/>
    </row>
    <row r="45" spans="1:11" ht="22.5" customHeight="1">
      <c r="A45" s="315" t="s">
        <v>610</v>
      </c>
      <c r="B45" s="406"/>
      <c r="C45" s="350">
        <v>-3549</v>
      </c>
      <c r="D45" s="350">
        <v>-2656</v>
      </c>
      <c r="E45" s="350">
        <v>-2656</v>
      </c>
      <c r="F45" s="350">
        <f t="shared" si="2"/>
        <v>-4236</v>
      </c>
      <c r="G45" s="350">
        <v>-1059</v>
      </c>
      <c r="H45" s="350">
        <v>-1059</v>
      </c>
      <c r="I45" s="350">
        <v>-1059</v>
      </c>
      <c r="J45" s="350">
        <v>-1059</v>
      </c>
      <c r="K45" s="407"/>
    </row>
    <row r="46" spans="1:11" s="306" customFormat="1" ht="34.5" customHeight="1">
      <c r="A46" s="320" t="s">
        <v>404</v>
      </c>
      <c r="B46" s="316">
        <v>1049</v>
      </c>
      <c r="C46" s="227">
        <f>SUM(C47:C59)</f>
        <v>-1213</v>
      </c>
      <c r="D46" s="227">
        <f>SUM(D47:D59)</f>
        <v>-1228</v>
      </c>
      <c r="E46" s="227">
        <f>SUM(E47:E59)</f>
        <v>-1228</v>
      </c>
      <c r="F46" s="227">
        <f t="shared" ref="F46:F78" si="3">SUM(G46:J46)</f>
        <v>-1600</v>
      </c>
      <c r="G46" s="227">
        <f>SUM(G47:G59)</f>
        <v>-400</v>
      </c>
      <c r="H46" s="227">
        <f t="shared" ref="H46:J46" si="4">SUM(H47:H59)</f>
        <v>-400</v>
      </c>
      <c r="I46" s="227">
        <f t="shared" si="4"/>
        <v>-400</v>
      </c>
      <c r="J46" s="227">
        <f t="shared" si="4"/>
        <v>-400</v>
      </c>
      <c r="K46" s="407"/>
    </row>
    <row r="47" spans="1:11" s="306" customFormat="1" ht="22.5" customHeight="1">
      <c r="A47" s="408" t="s">
        <v>542</v>
      </c>
      <c r="B47" s="316"/>
      <c r="C47" s="324">
        <v>-21</v>
      </c>
      <c r="D47" s="350">
        <v>-32</v>
      </c>
      <c r="E47" s="350">
        <f t="shared" si="1"/>
        <v>-32</v>
      </c>
      <c r="F47" s="350">
        <f t="shared" si="3"/>
        <v>-64</v>
      </c>
      <c r="G47" s="350">
        <v>-16</v>
      </c>
      <c r="H47" s="350">
        <v>-16</v>
      </c>
      <c r="I47" s="350">
        <v>-16</v>
      </c>
      <c r="J47" s="350">
        <v>-16</v>
      </c>
      <c r="K47" s="407"/>
    </row>
    <row r="48" spans="1:11" s="306" customFormat="1" ht="22.5" customHeight="1">
      <c r="A48" s="408" t="s">
        <v>543</v>
      </c>
      <c r="B48" s="316"/>
      <c r="C48" s="324">
        <v>-10</v>
      </c>
      <c r="D48" s="350">
        <v>-12</v>
      </c>
      <c r="E48" s="350">
        <f t="shared" si="1"/>
        <v>-12</v>
      </c>
      <c r="F48" s="350">
        <f t="shared" si="3"/>
        <v>-24</v>
      </c>
      <c r="G48" s="350">
        <v>-6</v>
      </c>
      <c r="H48" s="350">
        <v>-6</v>
      </c>
      <c r="I48" s="350">
        <v>-6</v>
      </c>
      <c r="J48" s="350">
        <v>-6</v>
      </c>
      <c r="K48" s="407"/>
    </row>
    <row r="49" spans="1:11" s="306" customFormat="1" ht="22.5" customHeight="1">
      <c r="A49" s="408" t="s">
        <v>544</v>
      </c>
      <c r="B49" s="316"/>
      <c r="C49" s="324">
        <v>-20</v>
      </c>
      <c r="D49" s="350">
        <v>-20</v>
      </c>
      <c r="E49" s="350">
        <f t="shared" si="1"/>
        <v>-20</v>
      </c>
      <c r="F49" s="350">
        <f t="shared" si="3"/>
        <v>-24</v>
      </c>
      <c r="G49" s="350">
        <v>-6</v>
      </c>
      <c r="H49" s="350">
        <v>-6</v>
      </c>
      <c r="I49" s="350">
        <v>-6</v>
      </c>
      <c r="J49" s="350">
        <v>-6</v>
      </c>
      <c r="K49" s="407"/>
    </row>
    <row r="50" spans="1:11" s="306" customFormat="1" ht="22.5" customHeight="1">
      <c r="A50" s="408" t="s">
        <v>580</v>
      </c>
      <c r="B50" s="316"/>
      <c r="C50" s="324">
        <v>-15</v>
      </c>
      <c r="D50" s="350">
        <v>-16</v>
      </c>
      <c r="E50" s="350">
        <f t="shared" si="1"/>
        <v>-16</v>
      </c>
      <c r="F50" s="350">
        <f t="shared" si="3"/>
        <v>-20</v>
      </c>
      <c r="G50" s="350">
        <v>-5</v>
      </c>
      <c r="H50" s="350">
        <v>-5</v>
      </c>
      <c r="I50" s="350">
        <v>-5</v>
      </c>
      <c r="J50" s="350">
        <v>-5</v>
      </c>
      <c r="K50" s="407"/>
    </row>
    <row r="51" spans="1:11" s="306" customFormat="1" ht="22.5" customHeight="1">
      <c r="A51" s="408" t="s">
        <v>545</v>
      </c>
      <c r="B51" s="316"/>
      <c r="C51" s="324">
        <v>-87</v>
      </c>
      <c r="D51" s="350">
        <v>-96</v>
      </c>
      <c r="E51" s="350">
        <f t="shared" si="1"/>
        <v>-96</v>
      </c>
      <c r="F51" s="350">
        <f t="shared" si="3"/>
        <v>-160</v>
      </c>
      <c r="G51" s="350">
        <v>-40</v>
      </c>
      <c r="H51" s="350">
        <v>-40</v>
      </c>
      <c r="I51" s="350">
        <v>-40</v>
      </c>
      <c r="J51" s="350">
        <v>-40</v>
      </c>
      <c r="K51" s="407"/>
    </row>
    <row r="52" spans="1:11" s="306" customFormat="1" ht="22.5" hidden="1" customHeight="1">
      <c r="A52" s="408" t="s">
        <v>546</v>
      </c>
      <c r="B52" s="316"/>
      <c r="C52" s="324"/>
      <c r="D52" s="350">
        <v>0</v>
      </c>
      <c r="E52" s="350">
        <f t="shared" si="1"/>
        <v>0</v>
      </c>
      <c r="F52" s="350">
        <f t="shared" si="3"/>
        <v>0</v>
      </c>
      <c r="G52" s="350"/>
      <c r="H52" s="350"/>
      <c r="I52" s="350"/>
      <c r="J52" s="350"/>
      <c r="K52" s="407"/>
    </row>
    <row r="53" spans="1:11" s="306" customFormat="1" ht="22.5" customHeight="1">
      <c r="A53" s="408" t="s">
        <v>521</v>
      </c>
      <c r="B53" s="316"/>
      <c r="C53" s="324">
        <v>-600</v>
      </c>
      <c r="D53" s="350">
        <v>-560</v>
      </c>
      <c r="E53" s="350">
        <f t="shared" si="1"/>
        <v>-560</v>
      </c>
      <c r="F53" s="350">
        <f t="shared" si="3"/>
        <v>-720</v>
      </c>
      <c r="G53" s="350">
        <v>-180</v>
      </c>
      <c r="H53" s="350">
        <v>-180</v>
      </c>
      <c r="I53" s="350">
        <v>-180</v>
      </c>
      <c r="J53" s="350">
        <v>-180</v>
      </c>
      <c r="K53" s="407"/>
    </row>
    <row r="54" spans="1:11" s="306" customFormat="1" ht="22.5" customHeight="1">
      <c r="A54" s="408" t="s">
        <v>595</v>
      </c>
      <c r="B54" s="316"/>
      <c r="C54" s="324">
        <v>-370</v>
      </c>
      <c r="D54" s="350">
        <v>-396</v>
      </c>
      <c r="E54" s="350">
        <f t="shared" si="1"/>
        <v>-396</v>
      </c>
      <c r="F54" s="350">
        <f t="shared" si="3"/>
        <v>-520</v>
      </c>
      <c r="G54" s="350">
        <v>-130</v>
      </c>
      <c r="H54" s="350">
        <v>-130</v>
      </c>
      <c r="I54" s="350">
        <v>-130</v>
      </c>
      <c r="J54" s="350">
        <v>-130</v>
      </c>
      <c r="K54" s="407"/>
    </row>
    <row r="55" spans="1:11" s="306" customFormat="1" ht="22.5" hidden="1" customHeight="1">
      <c r="A55" s="409" t="s">
        <v>547</v>
      </c>
      <c r="B55" s="316"/>
      <c r="C55" s="324"/>
      <c r="D55" s="350">
        <v>0</v>
      </c>
      <c r="E55" s="350">
        <f t="shared" si="1"/>
        <v>0</v>
      </c>
      <c r="F55" s="350">
        <f t="shared" si="3"/>
        <v>0</v>
      </c>
      <c r="G55" s="350">
        <v>0</v>
      </c>
      <c r="H55" s="350">
        <v>0</v>
      </c>
      <c r="I55" s="350">
        <v>0</v>
      </c>
      <c r="J55" s="350">
        <v>0</v>
      </c>
      <c r="K55" s="407"/>
    </row>
    <row r="56" spans="1:11" s="306" customFormat="1" ht="22.5" hidden="1" customHeight="1">
      <c r="A56" s="409" t="s">
        <v>548</v>
      </c>
      <c r="B56" s="316"/>
      <c r="C56" s="324"/>
      <c r="D56" s="350">
        <v>0</v>
      </c>
      <c r="E56" s="350"/>
      <c r="F56" s="350">
        <f t="shared" si="3"/>
        <v>0</v>
      </c>
      <c r="G56" s="350"/>
      <c r="H56" s="350"/>
      <c r="I56" s="350"/>
      <c r="J56" s="350"/>
      <c r="K56" s="407"/>
    </row>
    <row r="57" spans="1:11" s="306" customFormat="1" ht="22.5" hidden="1" customHeight="1">
      <c r="A57" s="409" t="s">
        <v>549</v>
      </c>
      <c r="B57" s="316"/>
      <c r="C57" s="324"/>
      <c r="D57" s="350">
        <v>0</v>
      </c>
      <c r="E57" s="350">
        <f t="shared" si="1"/>
        <v>0</v>
      </c>
      <c r="F57" s="350">
        <f t="shared" si="3"/>
        <v>0</v>
      </c>
      <c r="G57" s="350">
        <v>0</v>
      </c>
      <c r="H57" s="350">
        <v>0</v>
      </c>
      <c r="I57" s="350">
        <v>0</v>
      </c>
      <c r="J57" s="350">
        <v>0</v>
      </c>
      <c r="K57" s="407"/>
    </row>
    <row r="58" spans="1:11" s="306" customFormat="1" ht="22.5" hidden="1" customHeight="1">
      <c r="A58" s="408" t="s">
        <v>550</v>
      </c>
      <c r="B58" s="316"/>
      <c r="C58" s="324"/>
      <c r="D58" s="350">
        <v>0</v>
      </c>
      <c r="E58" s="350">
        <f t="shared" si="1"/>
        <v>0</v>
      </c>
      <c r="F58" s="350">
        <f t="shared" si="3"/>
        <v>0</v>
      </c>
      <c r="G58" s="350">
        <v>0</v>
      </c>
      <c r="H58" s="350">
        <v>0</v>
      </c>
      <c r="I58" s="350">
        <v>0</v>
      </c>
      <c r="J58" s="350">
        <v>0</v>
      </c>
      <c r="K58" s="407"/>
    </row>
    <row r="59" spans="1:11" s="306" customFormat="1" ht="22.5" customHeight="1">
      <c r="A59" s="409" t="s">
        <v>581</v>
      </c>
      <c r="B59" s="316"/>
      <c r="C59" s="324">
        <v>-90</v>
      </c>
      <c r="D59" s="350">
        <v>-96</v>
      </c>
      <c r="E59" s="350">
        <f t="shared" si="1"/>
        <v>-96</v>
      </c>
      <c r="F59" s="350">
        <f t="shared" si="3"/>
        <v>-68</v>
      </c>
      <c r="G59" s="350">
        <v>-17</v>
      </c>
      <c r="H59" s="350">
        <v>-17</v>
      </c>
      <c r="I59" s="350">
        <v>-17</v>
      </c>
      <c r="J59" s="350">
        <v>-17</v>
      </c>
      <c r="K59" s="407"/>
    </row>
    <row r="60" spans="1:11" s="306" customFormat="1" ht="46.5" hidden="1" customHeight="1">
      <c r="A60" s="320" t="s">
        <v>415</v>
      </c>
      <c r="B60" s="316">
        <v>1067</v>
      </c>
      <c r="C60" s="227"/>
      <c r="D60" s="227"/>
      <c r="E60" s="227"/>
      <c r="F60" s="350"/>
      <c r="G60" s="350"/>
      <c r="H60" s="350"/>
      <c r="I60" s="350"/>
      <c r="J60" s="350"/>
      <c r="K60" s="407">
        <f t="shared" ref="K60" si="5">G60*1.12</f>
        <v>0</v>
      </c>
    </row>
    <row r="61" spans="1:11" s="306" customFormat="1" ht="34.5" customHeight="1">
      <c r="A61" s="320" t="s">
        <v>241</v>
      </c>
      <c r="B61" s="316">
        <v>1073</v>
      </c>
      <c r="C61" s="227">
        <f>SUM(C62:C70)</f>
        <v>276</v>
      </c>
      <c r="D61" s="227">
        <f t="shared" ref="D61:E61" si="6">SUM(D62:D70)</f>
        <v>0</v>
      </c>
      <c r="E61" s="227">
        <f t="shared" si="6"/>
        <v>0</v>
      </c>
      <c r="F61" s="350">
        <f>SUM(G61:J61)</f>
        <v>0</v>
      </c>
      <c r="G61" s="227">
        <f>SUM(G62:G65)</f>
        <v>0</v>
      </c>
      <c r="H61" s="227">
        <f>SUM(H62:H65)</f>
        <v>0</v>
      </c>
      <c r="I61" s="227">
        <f>SUM(I62:I65)</f>
        <v>0</v>
      </c>
      <c r="J61" s="227">
        <f>SUM(J62:J65)</f>
        <v>0</v>
      </c>
      <c r="K61" s="407"/>
    </row>
    <row r="62" spans="1:11" s="306" customFormat="1" ht="23.25" customHeight="1">
      <c r="A62" s="409" t="s">
        <v>534</v>
      </c>
      <c r="B62" s="316"/>
      <c r="C62" s="324">
        <v>174</v>
      </c>
      <c r="D62" s="227"/>
      <c r="E62" s="227"/>
      <c r="F62" s="350">
        <f t="shared" ref="F62:F70" si="7">SUM(G62:J62)</f>
        <v>0</v>
      </c>
      <c r="G62" s="227"/>
      <c r="H62" s="227"/>
      <c r="I62" s="227"/>
      <c r="J62" s="227"/>
      <c r="K62" s="407"/>
    </row>
    <row r="63" spans="1:11" s="306" customFormat="1" ht="23.25" customHeight="1">
      <c r="A63" s="409" t="s">
        <v>582</v>
      </c>
      <c r="B63" s="316"/>
      <c r="C63" s="324">
        <v>7</v>
      </c>
      <c r="D63" s="227"/>
      <c r="E63" s="227"/>
      <c r="F63" s="350">
        <f t="shared" si="7"/>
        <v>0</v>
      </c>
      <c r="G63" s="227"/>
      <c r="H63" s="227"/>
      <c r="I63" s="227"/>
      <c r="J63" s="227"/>
      <c r="K63" s="407"/>
    </row>
    <row r="64" spans="1:11" s="306" customFormat="1" ht="23.25" hidden="1" customHeight="1">
      <c r="A64" s="315" t="s">
        <v>596</v>
      </c>
      <c r="B64" s="316"/>
      <c r="C64" s="324"/>
      <c r="D64" s="227"/>
      <c r="E64" s="227"/>
      <c r="F64" s="350">
        <f t="shared" si="7"/>
        <v>0</v>
      </c>
      <c r="G64" s="227"/>
      <c r="H64" s="227"/>
      <c r="I64" s="227"/>
      <c r="J64" s="227"/>
      <c r="K64" s="407"/>
    </row>
    <row r="65" spans="1:11" s="306" customFormat="1" ht="23.25" customHeight="1">
      <c r="A65" s="315" t="s">
        <v>535</v>
      </c>
      <c r="B65" s="316"/>
      <c r="C65" s="324">
        <v>6</v>
      </c>
      <c r="D65" s="227"/>
      <c r="E65" s="227"/>
      <c r="F65" s="350">
        <f t="shared" si="7"/>
        <v>0</v>
      </c>
      <c r="G65" s="227"/>
      <c r="H65" s="227"/>
      <c r="I65" s="227"/>
      <c r="J65" s="227"/>
      <c r="K65" s="407"/>
    </row>
    <row r="66" spans="1:11" s="306" customFormat="1" ht="23.25" customHeight="1">
      <c r="A66" s="315" t="s">
        <v>624</v>
      </c>
      <c r="B66" s="316"/>
      <c r="C66" s="324">
        <v>-5</v>
      </c>
      <c r="D66" s="227"/>
      <c r="E66" s="227"/>
      <c r="F66" s="350">
        <f t="shared" si="7"/>
        <v>0</v>
      </c>
      <c r="G66" s="227"/>
      <c r="H66" s="227"/>
      <c r="I66" s="227"/>
      <c r="J66" s="227"/>
      <c r="K66" s="407"/>
    </row>
    <row r="67" spans="1:11" s="306" customFormat="1" ht="23.25" hidden="1" customHeight="1">
      <c r="A67" s="315" t="s">
        <v>617</v>
      </c>
      <c r="B67" s="316"/>
      <c r="C67" s="324"/>
      <c r="D67" s="227"/>
      <c r="E67" s="227"/>
      <c r="F67" s="350">
        <f t="shared" si="7"/>
        <v>0</v>
      </c>
      <c r="G67" s="227"/>
      <c r="H67" s="227"/>
      <c r="I67" s="227"/>
      <c r="J67" s="227"/>
      <c r="K67" s="407"/>
    </row>
    <row r="68" spans="1:11" s="306" customFormat="1" ht="23.25" hidden="1" customHeight="1">
      <c r="A68" s="315" t="s">
        <v>615</v>
      </c>
      <c r="B68" s="316"/>
      <c r="C68" s="324"/>
      <c r="D68" s="227"/>
      <c r="E68" s="227"/>
      <c r="F68" s="350">
        <f t="shared" si="7"/>
        <v>0</v>
      </c>
      <c r="G68" s="227"/>
      <c r="H68" s="227"/>
      <c r="I68" s="227"/>
      <c r="J68" s="227"/>
      <c r="K68" s="407"/>
    </row>
    <row r="69" spans="1:11" s="306" customFormat="1" ht="23.25" customHeight="1">
      <c r="A69" s="315" t="s">
        <v>616</v>
      </c>
      <c r="B69" s="316"/>
      <c r="C69" s="324">
        <v>65</v>
      </c>
      <c r="D69" s="227"/>
      <c r="E69" s="227"/>
      <c r="F69" s="350">
        <f t="shared" si="7"/>
        <v>0</v>
      </c>
      <c r="G69" s="227"/>
      <c r="H69" s="227"/>
      <c r="I69" s="227"/>
      <c r="J69" s="227"/>
      <c r="K69" s="407"/>
    </row>
    <row r="70" spans="1:11" s="306" customFormat="1" ht="23.25" customHeight="1">
      <c r="A70" s="315" t="s">
        <v>636</v>
      </c>
      <c r="B70" s="316"/>
      <c r="C70" s="324">
        <v>29</v>
      </c>
      <c r="D70" s="350"/>
      <c r="E70" s="227"/>
      <c r="F70" s="350">
        <f t="shared" si="7"/>
        <v>0</v>
      </c>
      <c r="G70" s="227"/>
      <c r="H70" s="227"/>
      <c r="I70" s="227"/>
      <c r="J70" s="227"/>
      <c r="K70" s="407"/>
    </row>
    <row r="71" spans="1:11" s="306" customFormat="1" ht="34.5" customHeight="1">
      <c r="A71" s="320" t="s">
        <v>409</v>
      </c>
      <c r="B71" s="316">
        <v>1086</v>
      </c>
      <c r="C71" s="227">
        <f>SUM(C72:C77)</f>
        <v>-5</v>
      </c>
      <c r="D71" s="227">
        <f>SUM(D72:D77)</f>
        <v>0</v>
      </c>
      <c r="E71" s="227">
        <f>D71</f>
        <v>0</v>
      </c>
      <c r="F71" s="227">
        <f t="shared" si="3"/>
        <v>-36</v>
      </c>
      <c r="G71" s="227">
        <f>SUM(G72:G78)</f>
        <v>-9</v>
      </c>
      <c r="H71" s="227">
        <f t="shared" ref="H71:J71" si="8">SUM(H72:H78)</f>
        <v>-9</v>
      </c>
      <c r="I71" s="227">
        <f t="shared" si="8"/>
        <v>-9</v>
      </c>
      <c r="J71" s="227">
        <f t="shared" si="8"/>
        <v>-9</v>
      </c>
      <c r="K71" s="407"/>
    </row>
    <row r="72" spans="1:11" s="306" customFormat="1" ht="22.5" hidden="1" customHeight="1">
      <c r="A72" s="408" t="s">
        <v>536</v>
      </c>
      <c r="B72" s="316"/>
      <c r="C72" s="324"/>
      <c r="D72" s="227"/>
      <c r="E72" s="227"/>
      <c r="F72" s="350">
        <f t="shared" si="3"/>
        <v>0</v>
      </c>
      <c r="G72" s="227"/>
      <c r="H72" s="227"/>
      <c r="I72" s="227"/>
      <c r="J72" s="227"/>
      <c r="K72" s="407"/>
    </row>
    <row r="73" spans="1:11" s="306" customFormat="1" ht="22.5" hidden="1" customHeight="1">
      <c r="A73" s="408" t="s">
        <v>537</v>
      </c>
      <c r="B73" s="316"/>
      <c r="C73" s="324"/>
      <c r="D73" s="227"/>
      <c r="E73" s="227"/>
      <c r="F73" s="350">
        <f t="shared" si="3"/>
        <v>0</v>
      </c>
      <c r="G73" s="227"/>
      <c r="H73" s="227"/>
      <c r="I73" s="227"/>
      <c r="J73" s="227"/>
      <c r="K73" s="407"/>
    </row>
    <row r="74" spans="1:11" s="306" customFormat="1" ht="22.5" customHeight="1">
      <c r="A74" s="408" t="s">
        <v>538</v>
      </c>
      <c r="B74" s="316"/>
      <c r="C74" s="324">
        <v>-1</v>
      </c>
      <c r="D74" s="227"/>
      <c r="E74" s="227"/>
      <c r="F74" s="350">
        <f t="shared" si="3"/>
        <v>0</v>
      </c>
      <c r="G74" s="227"/>
      <c r="H74" s="227"/>
      <c r="I74" s="227"/>
      <c r="J74" s="227"/>
      <c r="K74" s="407"/>
    </row>
    <row r="75" spans="1:11" s="306" customFormat="1" ht="22.5" customHeight="1">
      <c r="A75" s="408" t="s">
        <v>537</v>
      </c>
      <c r="B75" s="316"/>
      <c r="C75" s="324">
        <v>-1</v>
      </c>
      <c r="D75" s="227"/>
      <c r="E75" s="227"/>
      <c r="F75" s="350">
        <f t="shared" si="3"/>
        <v>0</v>
      </c>
      <c r="G75" s="227"/>
      <c r="H75" s="227"/>
      <c r="I75" s="227"/>
      <c r="J75" s="227"/>
      <c r="K75" s="407"/>
    </row>
    <row r="76" spans="1:11" s="306" customFormat="1" ht="22.5" hidden="1" customHeight="1">
      <c r="A76" s="408" t="s">
        <v>507</v>
      </c>
      <c r="B76" s="316"/>
      <c r="C76" s="324"/>
      <c r="D76" s="227"/>
      <c r="E76" s="227"/>
      <c r="F76" s="350">
        <f t="shared" si="3"/>
        <v>0</v>
      </c>
      <c r="G76" s="227"/>
      <c r="H76" s="227"/>
      <c r="I76" s="227"/>
      <c r="J76" s="227"/>
      <c r="K76" s="407"/>
    </row>
    <row r="77" spans="1:11" s="306" customFormat="1" ht="22.5" customHeight="1">
      <c r="A77" s="315" t="s">
        <v>596</v>
      </c>
      <c r="B77" s="316"/>
      <c r="C77" s="324">
        <v>-3</v>
      </c>
      <c r="D77" s="227"/>
      <c r="E77" s="227"/>
      <c r="F77" s="350">
        <f t="shared" si="3"/>
        <v>0</v>
      </c>
      <c r="G77" s="227"/>
      <c r="H77" s="227"/>
      <c r="I77" s="227"/>
      <c r="J77" s="227"/>
      <c r="K77" s="407"/>
    </row>
    <row r="78" spans="1:11" s="306" customFormat="1" ht="22.5" customHeight="1">
      <c r="A78" s="315" t="s">
        <v>669</v>
      </c>
      <c r="B78" s="316"/>
      <c r="C78" s="324"/>
      <c r="D78" s="227"/>
      <c r="E78" s="227"/>
      <c r="F78" s="350">
        <f t="shared" si="3"/>
        <v>-36</v>
      </c>
      <c r="G78" s="350">
        <v>-9</v>
      </c>
      <c r="H78" s="350">
        <v>-9</v>
      </c>
      <c r="I78" s="350">
        <v>-9</v>
      </c>
      <c r="J78" s="350">
        <v>-9</v>
      </c>
      <c r="K78" s="407"/>
    </row>
    <row r="79" spans="1:11" s="306" customFormat="1" ht="34.5" hidden="1" customHeight="1">
      <c r="A79" s="320" t="s">
        <v>430</v>
      </c>
      <c r="B79" s="316">
        <v>1152</v>
      </c>
      <c r="C79" s="227">
        <f>SUM(C80:C82)</f>
        <v>528</v>
      </c>
      <c r="D79" s="227">
        <f>SUM(D80:D82)</f>
        <v>528</v>
      </c>
      <c r="E79" s="227">
        <f t="shared" ref="E79:E82" si="9">D79</f>
        <v>528</v>
      </c>
      <c r="F79" s="227">
        <f>SUM(G79:J79)</f>
        <v>528</v>
      </c>
      <c r="G79" s="227">
        <f>SUM(G80:G82)</f>
        <v>132</v>
      </c>
      <c r="H79" s="227">
        <f>SUM(H80:H82)</f>
        <v>132</v>
      </c>
      <c r="I79" s="227">
        <f>SUM(I80:I82)</f>
        <v>132</v>
      </c>
      <c r="J79" s="227">
        <f>SUM(J80:J82)</f>
        <v>132</v>
      </c>
      <c r="K79" s="407"/>
    </row>
    <row r="80" spans="1:11" s="306" customFormat="1" ht="20.100000000000001" hidden="1" customHeight="1">
      <c r="A80" s="408" t="s">
        <v>486</v>
      </c>
      <c r="B80" s="316"/>
      <c r="C80" s="410"/>
      <c r="D80" s="350"/>
      <c r="E80" s="227">
        <f t="shared" si="9"/>
        <v>0</v>
      </c>
      <c r="F80" s="227">
        <f t="shared" ref="F80:F82" si="10">SUM(G80:J80)</f>
        <v>0</v>
      </c>
      <c r="G80" s="350"/>
      <c r="H80" s="350"/>
      <c r="I80" s="411"/>
      <c r="J80" s="411"/>
      <c r="K80" s="407"/>
    </row>
    <row r="81" spans="1:11" s="306" customFormat="1" ht="21.75" hidden="1" customHeight="1">
      <c r="A81" s="315" t="s">
        <v>618</v>
      </c>
      <c r="B81" s="316"/>
      <c r="C81" s="410"/>
      <c r="D81" s="350"/>
      <c r="E81" s="227"/>
      <c r="F81" s="323" t="s">
        <v>514</v>
      </c>
      <c r="G81" s="350"/>
      <c r="H81" s="350"/>
      <c r="I81" s="411"/>
      <c r="J81" s="411"/>
      <c r="K81" s="407"/>
    </row>
    <row r="82" spans="1:11" s="306" customFormat="1" ht="39.75" hidden="1" customHeight="1">
      <c r="A82" s="409" t="s">
        <v>539</v>
      </c>
      <c r="B82" s="316"/>
      <c r="C82" s="410">
        <v>528</v>
      </c>
      <c r="D82" s="350">
        <v>528</v>
      </c>
      <c r="E82" s="350">
        <f t="shared" si="9"/>
        <v>528</v>
      </c>
      <c r="F82" s="350">
        <f t="shared" si="10"/>
        <v>528</v>
      </c>
      <c r="G82" s="350">
        <v>132</v>
      </c>
      <c r="H82" s="350">
        <v>132</v>
      </c>
      <c r="I82" s="350">
        <v>132</v>
      </c>
      <c r="J82" s="350">
        <v>132</v>
      </c>
      <c r="K82" s="407"/>
    </row>
    <row r="83" spans="1:11" s="306" customFormat="1" ht="33" customHeight="1">
      <c r="A83" s="320" t="s">
        <v>429</v>
      </c>
      <c r="B83" s="316">
        <v>1162</v>
      </c>
      <c r="C83" s="227">
        <f>SUM(C84:C87)</f>
        <v>-46</v>
      </c>
      <c r="D83" s="227">
        <f t="shared" ref="D83:E83" si="11">SUM(D84:D87)</f>
        <v>0</v>
      </c>
      <c r="E83" s="227">
        <f t="shared" si="11"/>
        <v>0</v>
      </c>
      <c r="F83" s="227">
        <f>SUM(G83:J83)</f>
        <v>-36</v>
      </c>
      <c r="G83" s="227">
        <f>SUM(G84:G87)</f>
        <v>-9</v>
      </c>
      <c r="H83" s="227">
        <f t="shared" ref="H83" si="12">SUM(H84:H87)</f>
        <v>-9</v>
      </c>
      <c r="I83" s="227">
        <f t="shared" ref="I83:J83" si="13">SUM(I84:I87)</f>
        <v>-9</v>
      </c>
      <c r="J83" s="227">
        <f t="shared" si="13"/>
        <v>-9</v>
      </c>
      <c r="K83" s="407"/>
    </row>
    <row r="84" spans="1:11" s="306" customFormat="1" ht="21.75" customHeight="1">
      <c r="A84" s="408" t="s">
        <v>540</v>
      </c>
      <c r="B84" s="316"/>
      <c r="C84" s="324">
        <v>-30</v>
      </c>
      <c r="D84" s="350"/>
      <c r="E84" s="227"/>
      <c r="F84" s="350">
        <f t="shared" ref="F84:F86" si="14">SUM(G84:J84)</f>
        <v>-36</v>
      </c>
      <c r="G84" s="350">
        <v>-9</v>
      </c>
      <c r="H84" s="350">
        <v>-9</v>
      </c>
      <c r="I84" s="351">
        <v>-9</v>
      </c>
      <c r="J84" s="351">
        <v>-9</v>
      </c>
      <c r="K84" s="407"/>
    </row>
    <row r="85" spans="1:11" s="306" customFormat="1" ht="21.75" customHeight="1">
      <c r="A85" s="408" t="s">
        <v>541</v>
      </c>
      <c r="B85" s="316"/>
      <c r="C85" s="324">
        <v>-16</v>
      </c>
      <c r="D85" s="350"/>
      <c r="E85" s="227"/>
      <c r="F85" s="350">
        <f t="shared" si="14"/>
        <v>0</v>
      </c>
      <c r="G85" s="350"/>
      <c r="H85" s="350"/>
      <c r="I85" s="411"/>
      <c r="J85" s="411"/>
      <c r="K85" s="407"/>
    </row>
    <row r="86" spans="1:11" s="306" customFormat="1" ht="21.75" hidden="1" customHeight="1">
      <c r="A86" s="412" t="s">
        <v>619</v>
      </c>
      <c r="B86" s="316"/>
      <c r="C86" s="324"/>
      <c r="D86" s="350"/>
      <c r="E86" s="227"/>
      <c r="F86" s="350">
        <f t="shared" si="14"/>
        <v>0</v>
      </c>
      <c r="G86" s="350"/>
      <c r="H86" s="350"/>
      <c r="I86" s="411"/>
      <c r="J86" s="411"/>
      <c r="K86" s="407"/>
    </row>
    <row r="87" spans="1:11" s="306" customFormat="1" ht="20.100000000000001" hidden="1" customHeight="1">
      <c r="A87" s="412" t="s">
        <v>572</v>
      </c>
      <c r="B87" s="316"/>
      <c r="C87" s="324" t="s">
        <v>514</v>
      </c>
      <c r="D87" s="350"/>
      <c r="E87" s="227"/>
      <c r="F87" s="350"/>
      <c r="G87" s="350"/>
      <c r="H87" s="350"/>
      <c r="I87" s="411"/>
      <c r="J87" s="411"/>
      <c r="K87" s="407"/>
    </row>
    <row r="88" spans="1:11" ht="34.5" customHeight="1">
      <c r="A88" s="52"/>
      <c r="C88" s="15"/>
      <c r="D88" s="51"/>
      <c r="E88" s="51"/>
      <c r="F88" s="51"/>
      <c r="G88" s="51"/>
      <c r="H88" s="51"/>
    </row>
    <row r="89" spans="1:11" s="166" customFormat="1" ht="18.75" customHeight="1">
      <c r="A89" s="278" t="s">
        <v>519</v>
      </c>
      <c r="B89" s="279"/>
      <c r="C89" s="513" t="s">
        <v>156</v>
      </c>
      <c r="D89" s="513"/>
      <c r="E89" s="513"/>
      <c r="F89" s="413"/>
      <c r="G89" s="515" t="s">
        <v>657</v>
      </c>
      <c r="H89" s="515"/>
      <c r="I89" s="515"/>
    </row>
    <row r="90" spans="1:11" s="282" customFormat="1">
      <c r="A90" s="281" t="s">
        <v>365</v>
      </c>
      <c r="C90" s="527" t="s">
        <v>583</v>
      </c>
      <c r="D90" s="527"/>
      <c r="E90" s="527"/>
      <c r="G90" s="520" t="s">
        <v>82</v>
      </c>
      <c r="H90" s="520"/>
      <c r="I90" s="520"/>
    </row>
    <row r="91" spans="1:11">
      <c r="A91" s="52"/>
      <c r="C91" s="15"/>
      <c r="D91" s="51"/>
      <c r="E91" s="51"/>
      <c r="F91" s="51"/>
      <c r="G91" s="51"/>
      <c r="H91" s="51"/>
    </row>
    <row r="92" spans="1:11">
      <c r="A92" s="52"/>
      <c r="C92" s="15"/>
      <c r="D92" s="51"/>
      <c r="E92" s="51"/>
      <c r="F92" s="51"/>
      <c r="G92" s="51"/>
      <c r="H92" s="51"/>
    </row>
    <row r="93" spans="1:11">
      <c r="A93" s="52"/>
      <c r="C93" s="15"/>
      <c r="D93" s="51"/>
      <c r="E93" s="51"/>
      <c r="F93" s="51"/>
      <c r="G93" s="51"/>
      <c r="H93" s="51"/>
    </row>
    <row r="94" spans="1:11">
      <c r="A94" s="52"/>
      <c r="C94" s="15"/>
      <c r="D94" s="51"/>
      <c r="E94" s="51"/>
      <c r="F94" s="51"/>
      <c r="G94" s="51"/>
      <c r="H94" s="51"/>
    </row>
    <row r="95" spans="1:11">
      <c r="A95" s="52"/>
      <c r="C95" s="15"/>
      <c r="D95" s="51"/>
      <c r="E95" s="51"/>
      <c r="F95" s="51"/>
      <c r="G95" s="51"/>
      <c r="H95" s="51"/>
    </row>
    <row r="96" spans="1:11">
      <c r="A96" s="52"/>
      <c r="C96" s="15"/>
      <c r="D96" s="51"/>
      <c r="E96" s="51"/>
      <c r="F96" s="51"/>
      <c r="G96" s="51"/>
      <c r="H96" s="51"/>
    </row>
    <row r="97" spans="1:8">
      <c r="A97" s="52"/>
      <c r="C97" s="15"/>
      <c r="D97" s="51"/>
      <c r="E97" s="51"/>
      <c r="F97" s="51"/>
      <c r="G97" s="51"/>
      <c r="H97" s="51"/>
    </row>
    <row r="98" spans="1:8">
      <c r="A98" s="52"/>
      <c r="C98" s="15"/>
      <c r="D98" s="51"/>
      <c r="E98" s="51"/>
      <c r="F98" s="51"/>
      <c r="G98" s="51"/>
      <c r="H98" s="51"/>
    </row>
    <row r="99" spans="1:8">
      <c r="A99" s="52"/>
      <c r="C99" s="15"/>
      <c r="D99" s="51"/>
      <c r="E99" s="51"/>
      <c r="F99" s="51"/>
      <c r="G99" s="51"/>
      <c r="H99" s="51"/>
    </row>
    <row r="100" spans="1:8">
      <c r="A100" s="52"/>
      <c r="C100" s="15"/>
      <c r="D100" s="51"/>
      <c r="E100" s="51"/>
      <c r="F100" s="51"/>
      <c r="G100" s="51"/>
      <c r="H100" s="51"/>
    </row>
    <row r="101" spans="1:8">
      <c r="A101" s="52"/>
      <c r="C101" s="15"/>
      <c r="D101" s="51"/>
      <c r="E101" s="51"/>
      <c r="F101" s="51"/>
      <c r="G101" s="51"/>
      <c r="H101" s="51"/>
    </row>
    <row r="102" spans="1:8">
      <c r="A102" s="52"/>
      <c r="C102" s="15"/>
      <c r="D102" s="51"/>
      <c r="E102" s="51"/>
      <c r="F102" s="51"/>
      <c r="G102" s="51"/>
      <c r="H102" s="51"/>
    </row>
    <row r="103" spans="1:8">
      <c r="A103" s="52"/>
      <c r="C103" s="15"/>
      <c r="D103" s="51"/>
      <c r="E103" s="51"/>
      <c r="F103" s="51"/>
      <c r="G103" s="51"/>
      <c r="H103" s="51"/>
    </row>
    <row r="104" spans="1:8">
      <c r="A104" s="52"/>
      <c r="C104" s="15"/>
      <c r="D104" s="51"/>
      <c r="E104" s="51"/>
      <c r="F104" s="51"/>
      <c r="G104" s="51"/>
      <c r="H104" s="51"/>
    </row>
    <row r="105" spans="1:8">
      <c r="A105" s="52"/>
      <c r="C105" s="15"/>
      <c r="D105" s="51"/>
      <c r="E105" s="51"/>
      <c r="F105" s="51"/>
      <c r="G105" s="51"/>
      <c r="H105" s="51"/>
    </row>
    <row r="106" spans="1:8">
      <c r="A106" s="52"/>
      <c r="C106" s="15"/>
      <c r="D106" s="51"/>
      <c r="E106" s="51"/>
      <c r="F106" s="51"/>
      <c r="G106" s="51"/>
      <c r="H106" s="51"/>
    </row>
    <row r="107" spans="1:8">
      <c r="A107" s="52"/>
      <c r="C107" s="15"/>
      <c r="D107" s="51"/>
      <c r="E107" s="51"/>
      <c r="F107" s="51"/>
      <c r="G107" s="51"/>
      <c r="H107" s="51"/>
    </row>
    <row r="108" spans="1:8">
      <c r="A108" s="52"/>
      <c r="C108" s="15"/>
      <c r="D108" s="51"/>
      <c r="E108" s="51"/>
      <c r="F108" s="51"/>
      <c r="G108" s="51"/>
      <c r="H108" s="51"/>
    </row>
    <row r="109" spans="1:8">
      <c r="A109" s="52"/>
      <c r="C109" s="15"/>
      <c r="D109" s="51"/>
      <c r="E109" s="51"/>
      <c r="F109" s="51"/>
      <c r="G109" s="51"/>
      <c r="H109" s="51"/>
    </row>
    <row r="110" spans="1:8">
      <c r="A110" s="52"/>
      <c r="C110" s="15"/>
      <c r="D110" s="51"/>
      <c r="E110" s="51"/>
      <c r="F110" s="51"/>
      <c r="G110" s="51"/>
      <c r="H110" s="51"/>
    </row>
    <row r="111" spans="1:8">
      <c r="A111" s="52"/>
      <c r="C111" s="15"/>
      <c r="D111" s="51"/>
      <c r="E111" s="51"/>
      <c r="F111" s="51"/>
      <c r="G111" s="51"/>
      <c r="H111" s="51"/>
    </row>
    <row r="112" spans="1:8">
      <c r="A112" s="52"/>
      <c r="C112" s="15"/>
      <c r="D112" s="51"/>
      <c r="E112" s="51"/>
      <c r="F112" s="51"/>
      <c r="G112" s="51"/>
      <c r="H112" s="51"/>
    </row>
    <row r="113" spans="1:8">
      <c r="A113" s="52"/>
      <c r="C113" s="15"/>
      <c r="D113" s="51"/>
      <c r="E113" s="51"/>
      <c r="F113" s="51"/>
      <c r="G113" s="51"/>
      <c r="H113" s="51"/>
    </row>
    <row r="114" spans="1:8">
      <c r="A114" s="52"/>
      <c r="C114" s="15"/>
      <c r="D114" s="51"/>
      <c r="E114" s="51"/>
      <c r="F114" s="51"/>
      <c r="G114" s="51"/>
      <c r="H114" s="51"/>
    </row>
    <row r="115" spans="1:8">
      <c r="A115" s="52"/>
      <c r="C115" s="15"/>
      <c r="D115" s="51"/>
      <c r="E115" s="51"/>
      <c r="F115" s="51"/>
      <c r="G115" s="51"/>
      <c r="H115" s="51"/>
    </row>
    <row r="116" spans="1:8">
      <c r="A116" s="52"/>
      <c r="C116" s="15"/>
      <c r="D116" s="51"/>
      <c r="E116" s="51"/>
      <c r="F116" s="51"/>
      <c r="G116" s="51"/>
      <c r="H116" s="51"/>
    </row>
    <row r="117" spans="1:8">
      <c r="A117" s="52"/>
      <c r="C117" s="15"/>
      <c r="D117" s="51"/>
      <c r="E117" s="51"/>
      <c r="F117" s="51"/>
      <c r="G117" s="51"/>
      <c r="H117" s="51"/>
    </row>
    <row r="118" spans="1:8">
      <c r="A118" s="52"/>
      <c r="C118" s="15"/>
      <c r="D118" s="51"/>
      <c r="E118" s="51"/>
      <c r="F118" s="51"/>
      <c r="G118" s="51"/>
      <c r="H118" s="51"/>
    </row>
    <row r="119" spans="1:8">
      <c r="A119" s="52"/>
      <c r="C119" s="15"/>
      <c r="D119" s="51"/>
      <c r="E119" s="51"/>
      <c r="F119" s="51"/>
      <c r="G119" s="51"/>
      <c r="H119" s="51"/>
    </row>
    <row r="120" spans="1:8">
      <c r="A120" s="52"/>
      <c r="C120" s="15"/>
      <c r="D120" s="51"/>
      <c r="E120" s="51"/>
      <c r="F120" s="51"/>
      <c r="G120" s="51"/>
      <c r="H120" s="51"/>
    </row>
    <row r="121" spans="1:8">
      <c r="A121" s="52"/>
      <c r="C121" s="15"/>
      <c r="D121" s="51"/>
      <c r="E121" s="51"/>
      <c r="F121" s="51"/>
      <c r="G121" s="51"/>
      <c r="H121" s="51"/>
    </row>
    <row r="122" spans="1:8">
      <c r="A122" s="52"/>
      <c r="C122" s="15"/>
      <c r="D122" s="51"/>
      <c r="E122" s="51"/>
      <c r="F122" s="51"/>
      <c r="G122" s="51"/>
      <c r="H122" s="51"/>
    </row>
    <row r="123" spans="1:8">
      <c r="A123" s="52"/>
      <c r="C123" s="15"/>
      <c r="D123" s="51"/>
      <c r="E123" s="51"/>
      <c r="F123" s="51"/>
      <c r="G123" s="51"/>
      <c r="H123" s="51"/>
    </row>
    <row r="124" spans="1:8">
      <c r="A124" s="52"/>
      <c r="C124" s="15"/>
      <c r="D124" s="51"/>
      <c r="E124" s="51"/>
      <c r="F124" s="51"/>
      <c r="G124" s="51"/>
      <c r="H124" s="51"/>
    </row>
    <row r="125" spans="1:8">
      <c r="A125" s="52"/>
      <c r="C125" s="15"/>
      <c r="D125" s="51"/>
      <c r="E125" s="51"/>
      <c r="F125" s="51"/>
      <c r="G125" s="51"/>
      <c r="H125" s="51"/>
    </row>
    <row r="126" spans="1:8">
      <c r="A126" s="52"/>
      <c r="C126" s="15"/>
      <c r="D126" s="51"/>
      <c r="E126" s="51"/>
      <c r="F126" s="51"/>
      <c r="G126" s="51"/>
      <c r="H126" s="51"/>
    </row>
    <row r="127" spans="1:8">
      <c r="A127" s="52"/>
      <c r="C127" s="15"/>
      <c r="D127" s="51"/>
      <c r="E127" s="51"/>
      <c r="F127" s="51"/>
      <c r="G127" s="51"/>
      <c r="H127" s="51"/>
    </row>
    <row r="128" spans="1:8">
      <c r="A128" s="52"/>
      <c r="C128" s="15"/>
      <c r="D128" s="51"/>
      <c r="E128" s="51"/>
      <c r="F128" s="51"/>
      <c r="G128" s="51"/>
      <c r="H128" s="51"/>
    </row>
    <row r="129" spans="1:8">
      <c r="A129" s="52"/>
      <c r="C129" s="15"/>
      <c r="D129" s="51"/>
      <c r="E129" s="51"/>
      <c r="F129" s="51"/>
      <c r="G129" s="51"/>
      <c r="H129" s="51"/>
    </row>
    <row r="130" spans="1:8">
      <c r="A130" s="52"/>
      <c r="C130" s="15"/>
      <c r="D130" s="51"/>
      <c r="E130" s="51"/>
      <c r="F130" s="51"/>
      <c r="G130" s="51"/>
      <c r="H130" s="51"/>
    </row>
    <row r="131" spans="1:8">
      <c r="A131" s="52"/>
      <c r="C131" s="15"/>
      <c r="D131" s="51"/>
      <c r="E131" s="51"/>
      <c r="F131" s="51"/>
      <c r="G131" s="51"/>
      <c r="H131" s="51"/>
    </row>
    <row r="132" spans="1:8">
      <c r="A132" s="52"/>
      <c r="C132" s="15"/>
      <c r="D132" s="51"/>
      <c r="E132" s="51"/>
      <c r="F132" s="51"/>
      <c r="G132" s="51"/>
      <c r="H132" s="51"/>
    </row>
    <row r="133" spans="1:8">
      <c r="A133" s="52"/>
      <c r="C133" s="15"/>
      <c r="D133" s="51"/>
      <c r="E133" s="51"/>
      <c r="F133" s="51"/>
      <c r="G133" s="51"/>
      <c r="H133" s="51"/>
    </row>
    <row r="134" spans="1:8">
      <c r="A134" s="52"/>
      <c r="C134" s="15"/>
      <c r="D134" s="51"/>
      <c r="E134" s="51"/>
      <c r="F134" s="51"/>
      <c r="G134" s="51"/>
      <c r="H134" s="51"/>
    </row>
    <row r="135" spans="1:8">
      <c r="A135" s="52"/>
      <c r="C135" s="15"/>
      <c r="D135" s="51"/>
      <c r="E135" s="51"/>
      <c r="F135" s="51"/>
      <c r="G135" s="51"/>
      <c r="H135" s="51"/>
    </row>
    <row r="136" spans="1:8">
      <c r="A136" s="52"/>
      <c r="C136" s="15"/>
      <c r="D136" s="51"/>
      <c r="E136" s="51"/>
      <c r="F136" s="51"/>
      <c r="G136" s="51"/>
      <c r="H136" s="51"/>
    </row>
    <row r="137" spans="1:8">
      <c r="A137" s="52"/>
      <c r="C137" s="15"/>
      <c r="D137" s="51"/>
      <c r="E137" s="51"/>
      <c r="F137" s="51"/>
      <c r="G137" s="51"/>
      <c r="H137" s="51"/>
    </row>
    <row r="138" spans="1:8">
      <c r="A138" s="52"/>
      <c r="C138" s="15"/>
      <c r="D138" s="51"/>
      <c r="E138" s="51"/>
      <c r="F138" s="51"/>
      <c r="G138" s="51"/>
      <c r="H138" s="51"/>
    </row>
    <row r="139" spans="1:8">
      <c r="A139" s="52"/>
      <c r="C139" s="15"/>
      <c r="D139" s="51"/>
      <c r="E139" s="51"/>
      <c r="F139" s="51"/>
      <c r="G139" s="51"/>
      <c r="H139" s="51"/>
    </row>
    <row r="140" spans="1:8">
      <c r="A140" s="52"/>
      <c r="C140" s="15"/>
      <c r="D140" s="51"/>
      <c r="E140" s="51"/>
      <c r="F140" s="51"/>
      <c r="G140" s="51"/>
      <c r="H140" s="51"/>
    </row>
    <row r="141" spans="1:8">
      <c r="A141" s="52"/>
      <c r="C141" s="15"/>
      <c r="D141" s="51"/>
      <c r="E141" s="51"/>
      <c r="F141" s="51"/>
      <c r="G141" s="51"/>
      <c r="H141" s="51"/>
    </row>
    <row r="142" spans="1:8">
      <c r="A142" s="52"/>
      <c r="C142" s="15"/>
      <c r="D142" s="51"/>
      <c r="E142" s="51"/>
      <c r="F142" s="51"/>
      <c r="G142" s="51"/>
      <c r="H142" s="51"/>
    </row>
    <row r="143" spans="1:8">
      <c r="A143" s="52"/>
      <c r="C143" s="15"/>
      <c r="D143" s="51"/>
      <c r="E143" s="51"/>
      <c r="F143" s="51"/>
      <c r="G143" s="51"/>
      <c r="H143" s="51"/>
    </row>
    <row r="144" spans="1:8">
      <c r="A144" s="52"/>
      <c r="C144" s="15"/>
      <c r="D144" s="51"/>
      <c r="E144" s="51"/>
      <c r="F144" s="51"/>
      <c r="G144" s="51"/>
      <c r="H144" s="51"/>
    </row>
    <row r="145" spans="1:1">
      <c r="A145" s="52"/>
    </row>
    <row r="146" spans="1:1">
      <c r="A146" s="53"/>
    </row>
    <row r="147" spans="1:1">
      <c r="A147" s="53"/>
    </row>
    <row r="148" spans="1:1">
      <c r="A148" s="53"/>
    </row>
    <row r="149" spans="1:1">
      <c r="A149" s="53"/>
    </row>
    <row r="150" spans="1:1">
      <c r="A150" s="53"/>
    </row>
    <row r="151" spans="1:1">
      <c r="A151" s="53"/>
    </row>
    <row r="152" spans="1:1">
      <c r="A152" s="53"/>
    </row>
    <row r="153" spans="1:1">
      <c r="A153" s="53"/>
    </row>
    <row r="154" spans="1:1">
      <c r="A154" s="53"/>
    </row>
    <row r="155" spans="1:1">
      <c r="A155" s="53"/>
    </row>
    <row r="156" spans="1:1">
      <c r="A156" s="53"/>
    </row>
    <row r="157" spans="1:1">
      <c r="A157" s="53"/>
    </row>
    <row r="158" spans="1:1">
      <c r="A158" s="53"/>
    </row>
    <row r="159" spans="1:1">
      <c r="A159" s="53"/>
    </row>
    <row r="160" spans="1:1">
      <c r="A160" s="53"/>
    </row>
    <row r="161" spans="1:1">
      <c r="A161" s="53"/>
    </row>
    <row r="162" spans="1:1">
      <c r="A162" s="53"/>
    </row>
    <row r="163" spans="1:1">
      <c r="A163" s="53"/>
    </row>
    <row r="164" spans="1:1">
      <c r="A164" s="53"/>
    </row>
    <row r="165" spans="1:1">
      <c r="A165" s="53"/>
    </row>
    <row r="166" spans="1:1">
      <c r="A166" s="53"/>
    </row>
    <row r="167" spans="1:1">
      <c r="A167" s="53"/>
    </row>
    <row r="168" spans="1:1">
      <c r="A168" s="53"/>
    </row>
    <row r="169" spans="1:1">
      <c r="A169" s="53"/>
    </row>
    <row r="170" spans="1:1">
      <c r="A170" s="53"/>
    </row>
    <row r="171" spans="1:1">
      <c r="A171" s="53"/>
    </row>
    <row r="172" spans="1:1">
      <c r="A172" s="53"/>
    </row>
    <row r="173" spans="1:1">
      <c r="A173" s="53"/>
    </row>
    <row r="174" spans="1:1">
      <c r="A174" s="53"/>
    </row>
    <row r="175" spans="1:1">
      <c r="A175" s="53"/>
    </row>
    <row r="176" spans="1:1">
      <c r="A176" s="53"/>
    </row>
    <row r="177" spans="1:1">
      <c r="A177" s="53"/>
    </row>
    <row r="178" spans="1:1">
      <c r="A178" s="53"/>
    </row>
    <row r="179" spans="1:1">
      <c r="A179" s="53"/>
    </row>
    <row r="180" spans="1:1">
      <c r="A180" s="53"/>
    </row>
    <row r="181" spans="1:1">
      <c r="A181" s="53"/>
    </row>
    <row r="182" spans="1:1">
      <c r="A182" s="53"/>
    </row>
    <row r="183" spans="1:1">
      <c r="A183" s="53"/>
    </row>
    <row r="184" spans="1:1">
      <c r="A184" s="53"/>
    </row>
    <row r="185" spans="1:1">
      <c r="A185" s="53"/>
    </row>
    <row r="186" spans="1:1">
      <c r="A186" s="53"/>
    </row>
    <row r="187" spans="1:1">
      <c r="A187" s="53"/>
    </row>
    <row r="188" spans="1:1">
      <c r="A188" s="53"/>
    </row>
    <row r="189" spans="1:1">
      <c r="A189" s="53"/>
    </row>
    <row r="190" spans="1:1">
      <c r="A190" s="53"/>
    </row>
    <row r="191" spans="1:1">
      <c r="A191" s="53"/>
    </row>
    <row r="192" spans="1:1">
      <c r="A192" s="53"/>
    </row>
    <row r="193" spans="1:1">
      <c r="A193" s="53"/>
    </row>
    <row r="194" spans="1:1">
      <c r="A194" s="53"/>
    </row>
    <row r="195" spans="1:1">
      <c r="A195" s="53"/>
    </row>
    <row r="196" spans="1:1">
      <c r="A196" s="53"/>
    </row>
    <row r="197" spans="1:1">
      <c r="A197" s="53"/>
    </row>
    <row r="198" spans="1:1">
      <c r="A198" s="53"/>
    </row>
    <row r="199" spans="1:1">
      <c r="A199" s="53"/>
    </row>
    <row r="200" spans="1:1">
      <c r="A200" s="53"/>
    </row>
    <row r="201" spans="1:1">
      <c r="A201" s="53"/>
    </row>
    <row r="202" spans="1:1">
      <c r="A202" s="53"/>
    </row>
    <row r="203" spans="1:1">
      <c r="A203" s="53"/>
    </row>
    <row r="204" spans="1:1">
      <c r="A204" s="53"/>
    </row>
    <row r="205" spans="1:1">
      <c r="A205" s="53"/>
    </row>
    <row r="206" spans="1:1">
      <c r="A206" s="53"/>
    </row>
    <row r="207" spans="1:1">
      <c r="A207" s="53"/>
    </row>
    <row r="208" spans="1:1">
      <c r="A208" s="53"/>
    </row>
    <row r="209" spans="1:1">
      <c r="A209" s="53"/>
    </row>
    <row r="210" spans="1:1">
      <c r="A210" s="53"/>
    </row>
    <row r="211" spans="1:1">
      <c r="A211" s="53"/>
    </row>
    <row r="212" spans="1:1">
      <c r="A212" s="53"/>
    </row>
    <row r="213" spans="1:1">
      <c r="A213" s="53"/>
    </row>
    <row r="214" spans="1:1">
      <c r="A214" s="53"/>
    </row>
    <row r="215" spans="1:1">
      <c r="A215" s="53"/>
    </row>
    <row r="216" spans="1:1">
      <c r="A216" s="53"/>
    </row>
    <row r="217" spans="1:1">
      <c r="A217" s="53"/>
    </row>
    <row r="218" spans="1:1">
      <c r="A218" s="53"/>
    </row>
    <row r="219" spans="1:1">
      <c r="A219" s="53"/>
    </row>
    <row r="220" spans="1:1">
      <c r="A220" s="53"/>
    </row>
    <row r="221" spans="1:1">
      <c r="A221" s="53"/>
    </row>
    <row r="222" spans="1:1">
      <c r="A222" s="53"/>
    </row>
    <row r="223" spans="1:1">
      <c r="A223" s="53"/>
    </row>
    <row r="224" spans="1:1">
      <c r="A224" s="53"/>
    </row>
    <row r="225" spans="1:1">
      <c r="A225" s="53"/>
    </row>
    <row r="226" spans="1:1">
      <c r="A226" s="53"/>
    </row>
    <row r="227" spans="1:1">
      <c r="A227" s="53"/>
    </row>
    <row r="228" spans="1:1">
      <c r="A228" s="53"/>
    </row>
    <row r="229" spans="1:1">
      <c r="A229" s="53"/>
    </row>
    <row r="230" spans="1:1">
      <c r="A230" s="53"/>
    </row>
    <row r="231" spans="1:1">
      <c r="A231" s="53"/>
    </row>
    <row r="232" spans="1:1">
      <c r="A232" s="53"/>
    </row>
    <row r="233" spans="1:1">
      <c r="A233" s="53"/>
    </row>
    <row r="234" spans="1:1">
      <c r="A234" s="53"/>
    </row>
    <row r="235" spans="1:1">
      <c r="A235" s="53"/>
    </row>
    <row r="236" spans="1:1">
      <c r="A236" s="53"/>
    </row>
    <row r="237" spans="1:1">
      <c r="A237" s="53"/>
    </row>
    <row r="238" spans="1:1">
      <c r="A238" s="53"/>
    </row>
    <row r="239" spans="1:1">
      <c r="A239" s="53"/>
    </row>
    <row r="240" spans="1:1">
      <c r="A240" s="53"/>
    </row>
    <row r="241" spans="1:1">
      <c r="A241" s="53"/>
    </row>
    <row r="242" spans="1:1">
      <c r="A242" s="53"/>
    </row>
    <row r="243" spans="1:1">
      <c r="A243" s="53"/>
    </row>
    <row r="244" spans="1:1">
      <c r="A244" s="53"/>
    </row>
    <row r="245" spans="1:1">
      <c r="A245" s="53"/>
    </row>
    <row r="246" spans="1:1">
      <c r="A246" s="53"/>
    </row>
    <row r="247" spans="1:1">
      <c r="A247" s="53"/>
    </row>
    <row r="248" spans="1:1">
      <c r="A248" s="53"/>
    </row>
    <row r="249" spans="1:1">
      <c r="A249" s="53"/>
    </row>
    <row r="250" spans="1:1">
      <c r="A250" s="53"/>
    </row>
    <row r="251" spans="1:1">
      <c r="A251" s="53"/>
    </row>
    <row r="252" spans="1:1">
      <c r="A252" s="53"/>
    </row>
    <row r="253" spans="1:1">
      <c r="A253" s="53"/>
    </row>
    <row r="254" spans="1:1">
      <c r="A254" s="53"/>
    </row>
    <row r="255" spans="1:1">
      <c r="A255" s="53"/>
    </row>
    <row r="256" spans="1:1">
      <c r="A256" s="53"/>
    </row>
    <row r="257" spans="1:1">
      <c r="A257" s="53"/>
    </row>
    <row r="258" spans="1:1">
      <c r="A258" s="53"/>
    </row>
    <row r="259" spans="1:1">
      <c r="A259" s="53"/>
    </row>
    <row r="260" spans="1:1">
      <c r="A260" s="53"/>
    </row>
    <row r="261" spans="1:1">
      <c r="A261" s="53"/>
    </row>
    <row r="262" spans="1:1">
      <c r="A262" s="53"/>
    </row>
    <row r="263" spans="1:1">
      <c r="A263" s="53"/>
    </row>
    <row r="264" spans="1:1">
      <c r="A264" s="53"/>
    </row>
    <row r="265" spans="1:1">
      <c r="A265" s="53"/>
    </row>
    <row r="266" spans="1:1">
      <c r="A266" s="53"/>
    </row>
    <row r="267" spans="1:1">
      <c r="A267" s="53"/>
    </row>
    <row r="268" spans="1:1">
      <c r="A268" s="53"/>
    </row>
    <row r="269" spans="1:1">
      <c r="A269" s="53"/>
    </row>
    <row r="270" spans="1:1">
      <c r="A270" s="53"/>
    </row>
    <row r="271" spans="1:1">
      <c r="A271" s="53"/>
    </row>
    <row r="272" spans="1:1">
      <c r="A272" s="53"/>
    </row>
    <row r="273" spans="1:1">
      <c r="A273" s="53"/>
    </row>
    <row r="274" spans="1:1">
      <c r="A274" s="53"/>
    </row>
    <row r="275" spans="1:1">
      <c r="A275" s="53"/>
    </row>
    <row r="276" spans="1:1">
      <c r="A276" s="53"/>
    </row>
    <row r="277" spans="1:1">
      <c r="A277" s="53"/>
    </row>
    <row r="278" spans="1:1">
      <c r="A278" s="53"/>
    </row>
    <row r="279" spans="1:1">
      <c r="A279" s="53"/>
    </row>
    <row r="280" spans="1:1">
      <c r="A280" s="53"/>
    </row>
    <row r="281" spans="1:1">
      <c r="A281" s="53"/>
    </row>
    <row r="282" spans="1:1">
      <c r="A282" s="53"/>
    </row>
    <row r="283" spans="1:1">
      <c r="A283" s="53"/>
    </row>
    <row r="284" spans="1:1">
      <c r="A284" s="53"/>
    </row>
    <row r="285" spans="1:1">
      <c r="A285" s="53"/>
    </row>
    <row r="286" spans="1:1">
      <c r="A286" s="53"/>
    </row>
    <row r="287" spans="1:1">
      <c r="A287" s="53"/>
    </row>
    <row r="288" spans="1:1">
      <c r="A288" s="53"/>
    </row>
    <row r="289" spans="1:1">
      <c r="A289" s="53"/>
    </row>
    <row r="290" spans="1:1">
      <c r="A290" s="53"/>
    </row>
    <row r="291" spans="1:1">
      <c r="A291" s="53"/>
    </row>
    <row r="292" spans="1:1">
      <c r="A292" s="53"/>
    </row>
    <row r="293" spans="1:1">
      <c r="A293" s="53"/>
    </row>
    <row r="294" spans="1:1">
      <c r="A294" s="53"/>
    </row>
    <row r="295" spans="1:1">
      <c r="A295" s="53"/>
    </row>
    <row r="296" spans="1:1">
      <c r="A296" s="53"/>
    </row>
    <row r="297" spans="1:1">
      <c r="A297" s="53"/>
    </row>
    <row r="298" spans="1:1">
      <c r="A298" s="53"/>
    </row>
    <row r="299" spans="1:1">
      <c r="A299" s="53"/>
    </row>
    <row r="300" spans="1:1">
      <c r="A300" s="53"/>
    </row>
    <row r="301" spans="1:1">
      <c r="A301" s="53"/>
    </row>
    <row r="302" spans="1:1">
      <c r="A302" s="53"/>
    </row>
    <row r="303" spans="1:1">
      <c r="A303" s="53"/>
    </row>
    <row r="304" spans="1:1">
      <c r="A304" s="53"/>
    </row>
    <row r="305" spans="1:1">
      <c r="A305" s="53"/>
    </row>
    <row r="306" spans="1:1">
      <c r="A306" s="53"/>
    </row>
    <row r="307" spans="1:1">
      <c r="A307" s="53"/>
    </row>
    <row r="308" spans="1:1">
      <c r="A308" s="53"/>
    </row>
    <row r="309" spans="1:1">
      <c r="A309" s="53"/>
    </row>
    <row r="310" spans="1:1">
      <c r="A310" s="53"/>
    </row>
    <row r="311" spans="1:1">
      <c r="A311" s="53"/>
    </row>
    <row r="312" spans="1:1">
      <c r="A312" s="53"/>
    </row>
  </sheetData>
  <sheetProtection algorithmName="SHA-512" hashValue="zPirpOUqU6+XTmQ9lvtLwSQSdZx3jNeYPaYHCtUD7Ex3nt4OwEOElOdGUVdbIn9Rz3FgMM9p+Z3bvjT3rJhmpA==" saltValue="e/WL5bRv19D0FV5Sd9BgZw==" spinCount="100000" sheet="1" objects="1" scenarios="1" selectLockedCells="1" selectUnlockedCells="1"/>
  <mergeCells count="12">
    <mergeCell ref="A2:H2"/>
    <mergeCell ref="G89:I89"/>
    <mergeCell ref="G90:I90"/>
    <mergeCell ref="A4:A5"/>
    <mergeCell ref="B4:B5"/>
    <mergeCell ref="C4:C5"/>
    <mergeCell ref="D4:D5"/>
    <mergeCell ref="E4:E5"/>
    <mergeCell ref="F4:F5"/>
    <mergeCell ref="G4:J4"/>
    <mergeCell ref="C89:E89"/>
    <mergeCell ref="C90:E90"/>
  </mergeCells>
  <pageMargins left="0.59055118110236227" right="0.59055118110236227" top="0.98425196850393704" bottom="0.59055118110236227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97"/>
  <sheetViews>
    <sheetView view="pageBreakPreview" topLeftCell="A29" zoomScale="69" zoomScaleNormal="75" zoomScaleSheetLayoutView="69" workbookViewId="0">
      <selection activeCell="Q22" sqref="Q22"/>
    </sheetView>
  </sheetViews>
  <sheetFormatPr defaultColWidth="77.88671875" defaultRowHeight="21"/>
  <cols>
    <col min="1" max="1" width="102" style="287" customWidth="1"/>
    <col min="2" max="2" width="16" style="286" customWidth="1"/>
    <col min="3" max="5" width="18.44140625" style="286" customWidth="1"/>
    <col min="6" max="6" width="18.44140625" style="287" customWidth="1"/>
    <col min="7" max="7" width="15.88671875" style="287" customWidth="1"/>
    <col min="8" max="8" width="15.109375" style="287" customWidth="1"/>
    <col min="9" max="10" width="15.88671875" style="287" customWidth="1"/>
    <col min="11" max="11" width="10" style="287" customWidth="1"/>
    <col min="12" max="12" width="9.5546875" style="287" customWidth="1"/>
    <col min="13" max="255" width="9.109375" style="287" customWidth="1"/>
    <col min="256" max="16384" width="77.88671875" style="287"/>
  </cols>
  <sheetData>
    <row r="1" spans="1:10" ht="26.25" customHeight="1">
      <c r="J1" s="443" t="s">
        <v>353</v>
      </c>
    </row>
    <row r="2" spans="1:10" ht="32.25" customHeight="1">
      <c r="A2" s="528" t="s">
        <v>109</v>
      </c>
      <c r="B2" s="528"/>
      <c r="C2" s="528"/>
      <c r="D2" s="528"/>
      <c r="E2" s="528"/>
      <c r="F2" s="528"/>
      <c r="G2" s="528"/>
      <c r="H2" s="528"/>
      <c r="I2" s="528"/>
      <c r="J2" s="528"/>
    </row>
    <row r="3" spans="1:10" ht="27.75" customHeight="1">
      <c r="A3" s="286"/>
      <c r="F3" s="286"/>
      <c r="G3" s="286"/>
      <c r="H3" s="286"/>
      <c r="I3" s="286"/>
      <c r="J3" s="444" t="s">
        <v>360</v>
      </c>
    </row>
    <row r="4" spans="1:10" ht="38.25" customHeight="1">
      <c r="A4" s="494" t="s">
        <v>164</v>
      </c>
      <c r="B4" s="529" t="s">
        <v>17</v>
      </c>
      <c r="C4" s="487" t="s">
        <v>631</v>
      </c>
      <c r="D4" s="487" t="s">
        <v>632</v>
      </c>
      <c r="E4" s="485" t="s">
        <v>633</v>
      </c>
      <c r="F4" s="492" t="s">
        <v>634</v>
      </c>
      <c r="G4" s="492" t="s">
        <v>329</v>
      </c>
      <c r="H4" s="492"/>
      <c r="I4" s="492"/>
      <c r="J4" s="492"/>
    </row>
    <row r="5" spans="1:10" ht="92.25" customHeight="1">
      <c r="A5" s="494"/>
      <c r="B5" s="529"/>
      <c r="C5" s="488"/>
      <c r="D5" s="488"/>
      <c r="E5" s="486"/>
      <c r="F5" s="492"/>
      <c r="G5" s="256" t="s">
        <v>126</v>
      </c>
      <c r="H5" s="256" t="s">
        <v>127</v>
      </c>
      <c r="I5" s="256" t="s">
        <v>128</v>
      </c>
      <c r="J5" s="256" t="s">
        <v>63</v>
      </c>
    </row>
    <row r="6" spans="1:10" ht="30" customHeight="1">
      <c r="A6" s="445">
        <v>1</v>
      </c>
      <c r="B6" s="446">
        <v>2</v>
      </c>
      <c r="C6" s="446">
        <v>3</v>
      </c>
      <c r="D6" s="446">
        <v>4</v>
      </c>
      <c r="E6" s="446">
        <v>5</v>
      </c>
      <c r="F6" s="446">
        <v>6</v>
      </c>
      <c r="G6" s="446">
        <v>7</v>
      </c>
      <c r="H6" s="446">
        <v>8</v>
      </c>
      <c r="I6" s="446">
        <v>9</v>
      </c>
      <c r="J6" s="446">
        <v>10</v>
      </c>
    </row>
    <row r="7" spans="1:10" ht="35.25" customHeight="1">
      <c r="A7" s="530" t="s">
        <v>107</v>
      </c>
      <c r="B7" s="531"/>
      <c r="C7" s="531"/>
      <c r="D7" s="531"/>
      <c r="E7" s="531"/>
      <c r="F7" s="531"/>
      <c r="G7" s="531"/>
      <c r="H7" s="531"/>
      <c r="I7" s="531"/>
      <c r="J7" s="532"/>
    </row>
    <row r="8" spans="1:10" ht="45.75" customHeight="1">
      <c r="A8" s="447" t="s">
        <v>51</v>
      </c>
      <c r="B8" s="448">
        <v>2000</v>
      </c>
      <c r="C8" s="233">
        <v>-18294</v>
      </c>
      <c r="D8" s="233">
        <v>-12714</v>
      </c>
      <c r="E8" s="233">
        <f>C17</f>
        <v>-16225</v>
      </c>
      <c r="F8" s="233">
        <f>E17</f>
        <v>-10039</v>
      </c>
      <c r="G8" s="233">
        <f>F8</f>
        <v>-10039</v>
      </c>
      <c r="H8" s="233">
        <f>G17</f>
        <v>-8980</v>
      </c>
      <c r="I8" s="233">
        <f t="shared" ref="I8:J8" si="0">H17</f>
        <v>-7902</v>
      </c>
      <c r="J8" s="233">
        <f t="shared" si="0"/>
        <v>-7055</v>
      </c>
    </row>
    <row r="9" spans="1:10" ht="49.5" customHeight="1">
      <c r="A9" s="383" t="s">
        <v>247</v>
      </c>
      <c r="B9" s="249">
        <v>2010</v>
      </c>
      <c r="C9" s="232">
        <f>SUM(C10:C10)</f>
        <v>-230</v>
      </c>
      <c r="D9" s="232">
        <f>D10</f>
        <v>-687</v>
      </c>
      <c r="E9" s="232">
        <f>E10</f>
        <v>-687</v>
      </c>
      <c r="F9" s="232">
        <f t="shared" ref="F9:F42" si="1">SUM(G9:J9)</f>
        <v>-427</v>
      </c>
      <c r="G9" s="232">
        <f t="shared" ref="G9:I9" si="2">G10</f>
        <v>-118</v>
      </c>
      <c r="H9" s="232">
        <f t="shared" si="2"/>
        <v>-120</v>
      </c>
      <c r="I9" s="232">
        <f t="shared" si="2"/>
        <v>-94</v>
      </c>
      <c r="J9" s="232">
        <f>SUM(J10:J10)</f>
        <v>-95</v>
      </c>
    </row>
    <row r="10" spans="1:10" ht="47.25" customHeight="1">
      <c r="A10" s="265" t="s">
        <v>371</v>
      </c>
      <c r="B10" s="249">
        <v>2011</v>
      </c>
      <c r="C10" s="232">
        <v>-230</v>
      </c>
      <c r="D10" s="232">
        <f>-ROUND('I. Фін результат'!D76*0.1,0)</f>
        <v>-687</v>
      </c>
      <c r="E10" s="232">
        <f>-ROUND('I. Фін результат'!E76*0.1,0)</f>
        <v>-687</v>
      </c>
      <c r="F10" s="232">
        <f t="shared" si="1"/>
        <v>-427</v>
      </c>
      <c r="G10" s="232">
        <f>-ROUND('I. Фін результат'!G76*0.1,0)</f>
        <v>-118</v>
      </c>
      <c r="H10" s="232">
        <f>-ROUND('I. Фін результат'!H76*0.1,0)</f>
        <v>-120</v>
      </c>
      <c r="I10" s="232">
        <f>-ROUND('I. Фін результат'!I76*0.1,0)</f>
        <v>-94</v>
      </c>
      <c r="J10" s="232">
        <f>-ROUND('I. Фін результат'!J76*0.1,0)</f>
        <v>-95</v>
      </c>
    </row>
    <row r="11" spans="1:10" ht="32.25" customHeight="1">
      <c r="A11" s="265" t="s">
        <v>131</v>
      </c>
      <c r="B11" s="249">
        <v>2020</v>
      </c>
      <c r="C11" s="232"/>
      <c r="D11" s="232"/>
      <c r="E11" s="233">
        <f t="shared" ref="E11:E16" si="3">D11</f>
        <v>0</v>
      </c>
      <c r="F11" s="232">
        <f t="shared" si="1"/>
        <v>0</v>
      </c>
      <c r="G11" s="232"/>
      <c r="H11" s="232"/>
      <c r="I11" s="232"/>
      <c r="J11" s="232"/>
    </row>
    <row r="12" spans="1:10" ht="32.25" customHeight="1">
      <c r="A12" s="265" t="s">
        <v>60</v>
      </c>
      <c r="B12" s="249">
        <v>2030</v>
      </c>
      <c r="C12" s="232" t="s">
        <v>197</v>
      </c>
      <c r="D12" s="232" t="s">
        <v>197</v>
      </c>
      <c r="E12" s="232" t="str">
        <f t="shared" si="3"/>
        <v>(    )</v>
      </c>
      <c r="F12" s="232">
        <f t="shared" si="1"/>
        <v>0</v>
      </c>
      <c r="G12" s="232" t="s">
        <v>197</v>
      </c>
      <c r="H12" s="232" t="s">
        <v>197</v>
      </c>
      <c r="I12" s="232" t="s">
        <v>197</v>
      </c>
      <c r="J12" s="232" t="s">
        <v>197</v>
      </c>
    </row>
    <row r="13" spans="1:10" ht="38.25" customHeight="1">
      <c r="A13" s="265" t="s">
        <v>364</v>
      </c>
      <c r="B13" s="249">
        <v>2031</v>
      </c>
      <c r="C13" s="232" t="s">
        <v>197</v>
      </c>
      <c r="D13" s="232" t="s">
        <v>197</v>
      </c>
      <c r="E13" s="232" t="str">
        <f t="shared" si="3"/>
        <v>(    )</v>
      </c>
      <c r="F13" s="232">
        <f t="shared" si="1"/>
        <v>0</v>
      </c>
      <c r="G13" s="232" t="s">
        <v>197</v>
      </c>
      <c r="H13" s="232" t="s">
        <v>197</v>
      </c>
      <c r="I13" s="232" t="s">
        <v>197</v>
      </c>
      <c r="J13" s="232" t="s">
        <v>197</v>
      </c>
    </row>
    <row r="14" spans="1:10" ht="32.25" customHeight="1">
      <c r="A14" s="265" t="s">
        <v>25</v>
      </c>
      <c r="B14" s="249">
        <v>2040</v>
      </c>
      <c r="C14" s="232" t="s">
        <v>197</v>
      </c>
      <c r="D14" s="232" t="s">
        <v>197</v>
      </c>
      <c r="E14" s="232" t="str">
        <f t="shared" si="3"/>
        <v>(    )</v>
      </c>
      <c r="F14" s="232">
        <f t="shared" si="1"/>
        <v>0</v>
      </c>
      <c r="G14" s="232" t="s">
        <v>197</v>
      </c>
      <c r="H14" s="232" t="s">
        <v>197</v>
      </c>
      <c r="I14" s="232" t="s">
        <v>197</v>
      </c>
      <c r="J14" s="232" t="s">
        <v>197</v>
      </c>
    </row>
    <row r="15" spans="1:10" ht="35.25" customHeight="1">
      <c r="A15" s="265" t="s">
        <v>90</v>
      </c>
      <c r="B15" s="249">
        <v>2050</v>
      </c>
      <c r="C15" s="232" t="s">
        <v>197</v>
      </c>
      <c r="D15" s="232" t="s">
        <v>197</v>
      </c>
      <c r="E15" s="232" t="str">
        <f t="shared" si="3"/>
        <v>(    )</v>
      </c>
      <c r="F15" s="232">
        <f t="shared" si="1"/>
        <v>0</v>
      </c>
      <c r="G15" s="232" t="s">
        <v>197</v>
      </c>
      <c r="H15" s="232" t="s">
        <v>197</v>
      </c>
      <c r="I15" s="232" t="s">
        <v>197</v>
      </c>
      <c r="J15" s="232" t="s">
        <v>197</v>
      </c>
    </row>
    <row r="16" spans="1:10" ht="33.75" customHeight="1">
      <c r="A16" s="265" t="s">
        <v>91</v>
      </c>
      <c r="B16" s="249">
        <v>2060</v>
      </c>
      <c r="C16" s="232" t="s">
        <v>197</v>
      </c>
      <c r="D16" s="232" t="s">
        <v>197</v>
      </c>
      <c r="E16" s="232" t="str">
        <f t="shared" si="3"/>
        <v>(    )</v>
      </c>
      <c r="F16" s="232">
        <f t="shared" si="1"/>
        <v>0</v>
      </c>
      <c r="G16" s="232" t="s">
        <v>197</v>
      </c>
      <c r="H16" s="232" t="s">
        <v>197</v>
      </c>
      <c r="I16" s="232" t="s">
        <v>197</v>
      </c>
      <c r="J16" s="232" t="s">
        <v>197</v>
      </c>
    </row>
    <row r="17" spans="1:10" ht="48.75" customHeight="1">
      <c r="A17" s="447" t="s">
        <v>52</v>
      </c>
      <c r="B17" s="448">
        <v>2070</v>
      </c>
      <c r="C17" s="233">
        <f>SUM(C8,C9,C11,C12,C14,C15,C16)+'I. Фін результат'!C75</f>
        <v>-16225</v>
      </c>
      <c r="D17" s="233">
        <f>SUM(D8,D9,D11,D12,D14,D15,D16)+'I. Фін результат'!D75</f>
        <v>-6528</v>
      </c>
      <c r="E17" s="233">
        <f>SUM(E8,E9,E11,E12,E14,E15,E16)+'I. Фін результат'!E75</f>
        <v>-10039</v>
      </c>
      <c r="F17" s="233">
        <f>SUM(F8,F9,F11,F12,F14,F15,F16)+'I. Фін результат'!F75</f>
        <v>-6198</v>
      </c>
      <c r="G17" s="233">
        <f>SUM(G8,G9,G11,G12,G14,G15,G16)+'I. Фін результат'!G75</f>
        <v>-8980</v>
      </c>
      <c r="H17" s="233">
        <f>SUM(H8,H9,H11,H12,H14,H15,H16)+'I. Фін результат'!H75</f>
        <v>-7902</v>
      </c>
      <c r="I17" s="233">
        <f>SUM(I8,I9,I11,I12,I14,I15,I16)+'I. Фін результат'!I75</f>
        <v>-7055</v>
      </c>
      <c r="J17" s="233">
        <f>SUM(J8,J9,J11,J12,J14,J15,J16)+'I. Фін результат'!J75</f>
        <v>-6198</v>
      </c>
    </row>
    <row r="18" spans="1:10" ht="36" customHeight="1">
      <c r="A18" s="533" t="s">
        <v>366</v>
      </c>
      <c r="B18" s="533"/>
      <c r="C18" s="533"/>
      <c r="D18" s="533"/>
      <c r="E18" s="533"/>
      <c r="F18" s="533"/>
      <c r="G18" s="533"/>
      <c r="H18" s="533"/>
      <c r="I18" s="533"/>
      <c r="J18" s="533"/>
    </row>
    <row r="19" spans="1:10" ht="54" customHeight="1">
      <c r="A19" s="447" t="s">
        <v>367</v>
      </c>
      <c r="B19" s="448">
        <v>2110</v>
      </c>
      <c r="C19" s="233">
        <f>SUM(C20:C26)</f>
        <v>13066</v>
      </c>
      <c r="D19" s="233">
        <f t="shared" ref="D19:E19" si="4">SUM(D20:D26)</f>
        <v>12728</v>
      </c>
      <c r="E19" s="233">
        <f t="shared" si="4"/>
        <v>12622</v>
      </c>
      <c r="F19" s="233">
        <f t="shared" si="1"/>
        <v>15000</v>
      </c>
      <c r="G19" s="233">
        <f t="shared" ref="G19" si="5">SUM(G20:G26)</f>
        <v>3750</v>
      </c>
      <c r="H19" s="233">
        <f t="shared" ref="H19" si="6">SUM(H20:H26)</f>
        <v>3750</v>
      </c>
      <c r="I19" s="233">
        <f t="shared" ref="I19" si="7">SUM(I20:I26)</f>
        <v>3750</v>
      </c>
      <c r="J19" s="233">
        <f t="shared" ref="J19" si="8">SUM(J20:J26)</f>
        <v>3750</v>
      </c>
    </row>
    <row r="20" spans="1:10" ht="40.5" customHeight="1">
      <c r="A20" s="265" t="s">
        <v>336</v>
      </c>
      <c r="B20" s="249">
        <v>2111</v>
      </c>
      <c r="C20" s="232">
        <v>12518</v>
      </c>
      <c r="D20" s="232">
        <v>12040</v>
      </c>
      <c r="E20" s="232">
        <f t="shared" ref="E20:E42" si="9">D20</f>
        <v>12040</v>
      </c>
      <c r="F20" s="232">
        <f t="shared" si="1"/>
        <v>14400</v>
      </c>
      <c r="G20" s="232">
        <v>3600</v>
      </c>
      <c r="H20" s="232">
        <v>3600</v>
      </c>
      <c r="I20" s="232">
        <v>3600</v>
      </c>
      <c r="J20" s="232">
        <v>3600</v>
      </c>
    </row>
    <row r="21" spans="1:10" s="449" customFormat="1" ht="37.5" customHeight="1">
      <c r="A21" s="383" t="s">
        <v>337</v>
      </c>
      <c r="B21" s="445">
        <v>2112</v>
      </c>
      <c r="C21" s="232" t="s">
        <v>197</v>
      </c>
      <c r="D21" s="232" t="s">
        <v>197</v>
      </c>
      <c r="E21" s="232" t="str">
        <f t="shared" si="9"/>
        <v>(    )</v>
      </c>
      <c r="F21" s="232">
        <f t="shared" si="1"/>
        <v>0</v>
      </c>
      <c r="G21" s="232" t="s">
        <v>197</v>
      </c>
      <c r="H21" s="232" t="s">
        <v>197</v>
      </c>
      <c r="I21" s="232" t="s">
        <v>197</v>
      </c>
      <c r="J21" s="232" t="s">
        <v>197</v>
      </c>
    </row>
    <row r="22" spans="1:10" ht="30.75" customHeight="1">
      <c r="A22" s="265" t="s">
        <v>75</v>
      </c>
      <c r="B22" s="249">
        <v>2113</v>
      </c>
      <c r="C22" s="232"/>
      <c r="D22" s="232"/>
      <c r="E22" s="232">
        <f t="shared" si="9"/>
        <v>0</v>
      </c>
      <c r="F22" s="232">
        <f t="shared" si="1"/>
        <v>0</v>
      </c>
      <c r="G22" s="232"/>
      <c r="H22" s="232"/>
      <c r="I22" s="232"/>
      <c r="J22" s="232"/>
    </row>
    <row r="23" spans="1:10" ht="36.75" customHeight="1">
      <c r="A23" s="265" t="s">
        <v>83</v>
      </c>
      <c r="B23" s="249">
        <v>2114</v>
      </c>
      <c r="C23" s="232"/>
      <c r="D23" s="232"/>
      <c r="E23" s="232">
        <f t="shared" si="9"/>
        <v>0</v>
      </c>
      <c r="F23" s="232">
        <f t="shared" si="1"/>
        <v>0</v>
      </c>
      <c r="G23" s="232"/>
      <c r="H23" s="232"/>
      <c r="I23" s="232"/>
      <c r="J23" s="232"/>
    </row>
    <row r="24" spans="1:10" ht="36.75" customHeight="1">
      <c r="A24" s="265" t="s">
        <v>294</v>
      </c>
      <c r="B24" s="249">
        <v>2115</v>
      </c>
      <c r="C24" s="232"/>
      <c r="D24" s="232"/>
      <c r="E24" s="232">
        <f t="shared" si="9"/>
        <v>0</v>
      </c>
      <c r="F24" s="232">
        <f t="shared" si="1"/>
        <v>0</v>
      </c>
      <c r="G24" s="232"/>
      <c r="H24" s="232"/>
      <c r="I24" s="232"/>
      <c r="J24" s="232"/>
    </row>
    <row r="25" spans="1:10" ht="35.25" customHeight="1">
      <c r="A25" s="265" t="s">
        <v>368</v>
      </c>
      <c r="B25" s="249">
        <v>2116</v>
      </c>
      <c r="C25" s="232">
        <v>548</v>
      </c>
      <c r="D25" s="232">
        <v>688</v>
      </c>
      <c r="E25" s="232">
        <f>ROUND('I. Фін результат'!E91*0.015,0)</f>
        <v>582</v>
      </c>
      <c r="F25" s="232">
        <f t="shared" si="1"/>
        <v>600</v>
      </c>
      <c r="G25" s="232">
        <f>ROUND('I. Фін результат'!G91*0.015,0)</f>
        <v>150</v>
      </c>
      <c r="H25" s="232">
        <f>ROUND('I. Фін результат'!H91*0.015,0)</f>
        <v>150</v>
      </c>
      <c r="I25" s="232">
        <f>ROUND('I. Фін результат'!I91*0.015,0)</f>
        <v>150</v>
      </c>
      <c r="J25" s="232">
        <f>ROUND('I. Фін результат'!J91*0.015,0)</f>
        <v>150</v>
      </c>
    </row>
    <row r="26" spans="1:10" ht="35.25" customHeight="1">
      <c r="A26" s="265" t="s">
        <v>282</v>
      </c>
      <c r="B26" s="249">
        <v>2117</v>
      </c>
      <c r="C26" s="232"/>
      <c r="D26" s="232"/>
      <c r="E26" s="232">
        <f t="shared" si="9"/>
        <v>0</v>
      </c>
      <c r="F26" s="232">
        <f t="shared" si="1"/>
        <v>0</v>
      </c>
      <c r="G26" s="232"/>
      <c r="H26" s="232"/>
      <c r="I26" s="232"/>
      <c r="J26" s="232"/>
    </row>
    <row r="27" spans="1:10" ht="54" customHeight="1">
      <c r="A27" s="447" t="s">
        <v>369</v>
      </c>
      <c r="B27" s="448">
        <v>2120</v>
      </c>
      <c r="C27" s="233">
        <f>SUM(C28:C35)</f>
        <v>6955</v>
      </c>
      <c r="D27" s="233">
        <f t="shared" ref="D27:E27" si="10">SUM(D28:D35)</f>
        <v>10601</v>
      </c>
      <c r="E27" s="233">
        <f t="shared" si="10"/>
        <v>9339</v>
      </c>
      <c r="F27" s="233">
        <f>SUM(G27:J27)</f>
        <v>8743</v>
      </c>
      <c r="G27" s="233">
        <f t="shared" ref="G27" si="11">SUM(G28:G35)</f>
        <v>2221</v>
      </c>
      <c r="H27" s="233">
        <f t="shared" ref="H27" si="12">SUM(H28:H35)</f>
        <v>2228</v>
      </c>
      <c r="I27" s="233">
        <f t="shared" ref="I27" si="13">SUM(I28:I35)</f>
        <v>2145</v>
      </c>
      <c r="J27" s="233">
        <f t="shared" ref="J27" si="14">SUM(J28:J35)</f>
        <v>2149</v>
      </c>
    </row>
    <row r="28" spans="1:10" ht="37.5" customHeight="1">
      <c r="A28" s="383" t="s">
        <v>257</v>
      </c>
      <c r="B28" s="249">
        <v>2121</v>
      </c>
      <c r="C28" s="232"/>
      <c r="D28" s="232">
        <f>-'I. Фін результат'!D71</f>
        <v>1510</v>
      </c>
      <c r="E28" s="232">
        <f>-'I. Фін результат'!E71</f>
        <v>1510</v>
      </c>
      <c r="F28" s="232">
        <f t="shared" si="1"/>
        <v>936</v>
      </c>
      <c r="G28" s="232">
        <f>-'I. Фін результат'!G71</f>
        <v>258</v>
      </c>
      <c r="H28" s="232">
        <f>-'I. Фін результат'!H71</f>
        <v>263</v>
      </c>
      <c r="I28" s="232">
        <f>-'I. Фін результат'!I71</f>
        <v>206</v>
      </c>
      <c r="J28" s="232">
        <f>-'I. Фін результат'!J71</f>
        <v>209</v>
      </c>
    </row>
    <row r="29" spans="1:10" ht="37.5" customHeight="1">
      <c r="A29" s="265" t="s">
        <v>74</v>
      </c>
      <c r="B29" s="249">
        <v>2122</v>
      </c>
      <c r="C29" s="232">
        <v>6574</v>
      </c>
      <c r="D29" s="232">
        <v>8252</v>
      </c>
      <c r="E29" s="232">
        <f>ROUND('I. Фін результат'!E91*0.18,0)</f>
        <v>6990</v>
      </c>
      <c r="F29" s="232">
        <f t="shared" si="1"/>
        <v>7216</v>
      </c>
      <c r="G29" s="232">
        <f>ROUND('I. Фін результат'!G91*0.18,0)</f>
        <v>1804</v>
      </c>
      <c r="H29" s="232">
        <f>ROUND('I. Фін результат'!H91*0.18,0)</f>
        <v>1804</v>
      </c>
      <c r="I29" s="232">
        <f>ROUND('I. Фін результат'!I91*0.18,0)</f>
        <v>1804</v>
      </c>
      <c r="J29" s="232">
        <f>ROUND('I. Фін результат'!J91*0.18,0)</f>
        <v>1804</v>
      </c>
    </row>
    <row r="30" spans="1:10" ht="37.5" customHeight="1">
      <c r="A30" s="265" t="s">
        <v>75</v>
      </c>
      <c r="B30" s="249">
        <v>2123</v>
      </c>
      <c r="C30" s="232"/>
      <c r="D30" s="232"/>
      <c r="E30" s="232">
        <f t="shared" si="9"/>
        <v>0</v>
      </c>
      <c r="F30" s="232">
        <f t="shared" si="1"/>
        <v>0</v>
      </c>
      <c r="G30" s="232"/>
      <c r="H30" s="232"/>
      <c r="I30" s="232"/>
      <c r="J30" s="232"/>
    </row>
    <row r="31" spans="1:10" ht="37.5" customHeight="1">
      <c r="A31" s="265" t="s">
        <v>287</v>
      </c>
      <c r="B31" s="249">
        <v>2124</v>
      </c>
      <c r="C31" s="232">
        <f>-'Розшифровка до Формування'!C9</f>
        <v>151</v>
      </c>
      <c r="D31" s="232">
        <f>-'Розшифровка до Формування'!D9</f>
        <v>152</v>
      </c>
      <c r="E31" s="232">
        <f>-'Розшифровка до Формування'!E9</f>
        <v>152</v>
      </c>
      <c r="F31" s="232">
        <f t="shared" si="1"/>
        <v>164</v>
      </c>
      <c r="G31" s="232">
        <f>-'Розшифровка до Формування'!G9</f>
        <v>41</v>
      </c>
      <c r="H31" s="232">
        <f>-'Розшифровка до Формування'!H9</f>
        <v>41</v>
      </c>
      <c r="I31" s="232">
        <f>-'Розшифровка до Формування'!I9</f>
        <v>41</v>
      </c>
      <c r="J31" s="232">
        <f>-'Розшифровка до Формування'!J9</f>
        <v>41</v>
      </c>
    </row>
    <row r="32" spans="1:10" ht="37.5" customHeight="1">
      <c r="A32" s="265" t="s">
        <v>288</v>
      </c>
      <c r="B32" s="249">
        <v>2125</v>
      </c>
      <c r="C32" s="232"/>
      <c r="D32" s="232"/>
      <c r="E32" s="233">
        <f t="shared" si="9"/>
        <v>0</v>
      </c>
      <c r="F32" s="232">
        <f t="shared" si="1"/>
        <v>0</v>
      </c>
      <c r="G32" s="232"/>
      <c r="H32" s="232"/>
      <c r="I32" s="232"/>
      <c r="J32" s="232"/>
    </row>
    <row r="33" spans="1:12" ht="66" customHeight="1">
      <c r="A33" s="265" t="s">
        <v>372</v>
      </c>
      <c r="B33" s="249">
        <v>2126</v>
      </c>
      <c r="C33" s="232">
        <f>-C10</f>
        <v>230</v>
      </c>
      <c r="D33" s="232">
        <f>-D10</f>
        <v>687</v>
      </c>
      <c r="E33" s="232">
        <f>-E10</f>
        <v>687</v>
      </c>
      <c r="F33" s="232">
        <f t="shared" si="1"/>
        <v>427</v>
      </c>
      <c r="G33" s="232">
        <f t="shared" ref="G33:J33" si="15">-G10</f>
        <v>118</v>
      </c>
      <c r="H33" s="232">
        <f t="shared" si="15"/>
        <v>120</v>
      </c>
      <c r="I33" s="232">
        <f t="shared" si="15"/>
        <v>94</v>
      </c>
      <c r="J33" s="232">
        <f t="shared" si="15"/>
        <v>95</v>
      </c>
    </row>
    <row r="34" spans="1:12" ht="29.25" customHeight="1">
      <c r="A34" s="265" t="s">
        <v>294</v>
      </c>
      <c r="B34" s="249">
        <v>2127</v>
      </c>
      <c r="C34" s="232"/>
      <c r="D34" s="232"/>
      <c r="E34" s="233">
        <f t="shared" si="9"/>
        <v>0</v>
      </c>
      <c r="F34" s="232">
        <f t="shared" si="1"/>
        <v>0</v>
      </c>
      <c r="G34" s="232"/>
      <c r="H34" s="232"/>
      <c r="I34" s="232"/>
      <c r="J34" s="232"/>
    </row>
    <row r="35" spans="1:12" ht="29.25" customHeight="1">
      <c r="A35" s="265" t="s">
        <v>282</v>
      </c>
      <c r="B35" s="249">
        <v>2128</v>
      </c>
      <c r="C35" s="232"/>
      <c r="D35" s="232"/>
      <c r="E35" s="233">
        <f t="shared" si="9"/>
        <v>0</v>
      </c>
      <c r="F35" s="232">
        <f t="shared" si="1"/>
        <v>0</v>
      </c>
      <c r="G35" s="232"/>
      <c r="H35" s="232"/>
      <c r="I35" s="232"/>
      <c r="J35" s="232"/>
    </row>
    <row r="36" spans="1:12" s="451" customFormat="1" ht="51" customHeight="1">
      <c r="A36" s="447" t="s">
        <v>370</v>
      </c>
      <c r="B36" s="450">
        <v>2130</v>
      </c>
      <c r="C36" s="233">
        <f>SUM(C37:C39)</f>
        <v>12608</v>
      </c>
      <c r="D36" s="233">
        <f t="shared" ref="D36:E36" si="16">SUM(D37:D39)</f>
        <v>14980</v>
      </c>
      <c r="E36" s="233">
        <f t="shared" si="16"/>
        <v>13439</v>
      </c>
      <c r="F36" s="233">
        <f t="shared" si="1"/>
        <v>14132</v>
      </c>
      <c r="G36" s="233">
        <f t="shared" ref="G36" si="17">SUM(G37:G39)</f>
        <v>3533</v>
      </c>
      <c r="H36" s="233">
        <f t="shared" ref="H36" si="18">SUM(H37:H39)</f>
        <v>3533</v>
      </c>
      <c r="I36" s="233">
        <f t="shared" ref="I36" si="19">SUM(I37:I39)</f>
        <v>3533</v>
      </c>
      <c r="J36" s="233">
        <f t="shared" ref="J36" si="20">SUM(J37:J39)</f>
        <v>3533</v>
      </c>
      <c r="K36" s="287"/>
    </row>
    <row r="37" spans="1:12" ht="36.75" customHeight="1">
      <c r="A37" s="265" t="s">
        <v>283</v>
      </c>
      <c r="B37" s="249">
        <v>2131</v>
      </c>
      <c r="C37" s="232"/>
      <c r="D37" s="232"/>
      <c r="E37" s="233">
        <f t="shared" si="9"/>
        <v>0</v>
      </c>
      <c r="F37" s="232">
        <f t="shared" si="1"/>
        <v>0</v>
      </c>
      <c r="G37" s="232"/>
      <c r="H37" s="232"/>
      <c r="I37" s="232"/>
      <c r="J37" s="232"/>
    </row>
    <row r="38" spans="1:12" ht="36.75" customHeight="1">
      <c r="A38" s="265" t="s">
        <v>284</v>
      </c>
      <c r="B38" s="249">
        <v>2132</v>
      </c>
      <c r="C38" s="232">
        <v>7685</v>
      </c>
      <c r="D38" s="232">
        <f>'I. Фін результат'!D92</f>
        <v>10084</v>
      </c>
      <c r="E38" s="232">
        <f>'I. Фін результат'!E92</f>
        <v>8543</v>
      </c>
      <c r="F38" s="232">
        <f t="shared" si="1"/>
        <v>8820</v>
      </c>
      <c r="G38" s="232">
        <f>'I. Фін результат'!G92</f>
        <v>2205</v>
      </c>
      <c r="H38" s="232">
        <f>'I. Фін результат'!H92</f>
        <v>2205</v>
      </c>
      <c r="I38" s="232">
        <f>'I. Фін результат'!I92</f>
        <v>2205</v>
      </c>
      <c r="J38" s="232">
        <f>'I. Фін результат'!J92</f>
        <v>2205</v>
      </c>
    </row>
    <row r="39" spans="1:12" ht="36.75" customHeight="1">
      <c r="A39" s="265" t="s">
        <v>431</v>
      </c>
      <c r="B39" s="249">
        <v>2133</v>
      </c>
      <c r="C39" s="232">
        <f>-'Розшифровка до Формування'!C8</f>
        <v>4923</v>
      </c>
      <c r="D39" s="232">
        <f>-'Розшифровка до Формування'!D8</f>
        <v>4896</v>
      </c>
      <c r="E39" s="232">
        <f>-'Розшифровка до Формування'!E8</f>
        <v>4896</v>
      </c>
      <c r="F39" s="232">
        <f t="shared" si="1"/>
        <v>5312</v>
      </c>
      <c r="G39" s="232">
        <f>-'Розшифровка до Формування'!G8</f>
        <v>1328</v>
      </c>
      <c r="H39" s="232">
        <f>-'Розшифровка до Формування'!H8</f>
        <v>1328</v>
      </c>
      <c r="I39" s="232">
        <f>-'Розшифровка до Формування'!I8</f>
        <v>1328</v>
      </c>
      <c r="J39" s="232">
        <f>-'Розшифровка до Формування'!J8</f>
        <v>1328</v>
      </c>
    </row>
    <row r="40" spans="1:12" s="449" customFormat="1" ht="39" customHeight="1">
      <c r="A40" s="447" t="s">
        <v>285</v>
      </c>
      <c r="B40" s="450">
        <v>2140</v>
      </c>
      <c r="C40" s="233">
        <f>SUM(C41,C42)</f>
        <v>0</v>
      </c>
      <c r="D40" s="233">
        <f>SUM(D41,D42)</f>
        <v>0</v>
      </c>
      <c r="E40" s="233">
        <f t="shared" si="9"/>
        <v>0</v>
      </c>
      <c r="F40" s="233">
        <f>SUM(G40:J40)</f>
        <v>0</v>
      </c>
      <c r="G40" s="233">
        <f>SUM(G41,G42)</f>
        <v>0</v>
      </c>
      <c r="H40" s="233">
        <f>SUM(H41,H42)</f>
        <v>0</v>
      </c>
      <c r="I40" s="233">
        <f>SUM(I41,I42)</f>
        <v>0</v>
      </c>
      <c r="J40" s="233">
        <f>SUM(J41,J42)</f>
        <v>0</v>
      </c>
    </row>
    <row r="41" spans="1:12" ht="51" customHeight="1">
      <c r="A41" s="383" t="s">
        <v>248</v>
      </c>
      <c r="B41" s="445">
        <v>2141</v>
      </c>
      <c r="C41" s="232"/>
      <c r="D41" s="232"/>
      <c r="E41" s="233">
        <f t="shared" si="9"/>
        <v>0</v>
      </c>
      <c r="F41" s="232">
        <f t="shared" si="1"/>
        <v>0</v>
      </c>
      <c r="G41" s="232"/>
      <c r="H41" s="232"/>
      <c r="I41" s="232"/>
      <c r="J41" s="232"/>
    </row>
    <row r="42" spans="1:12" ht="39" customHeight="1">
      <c r="A42" s="383" t="s">
        <v>286</v>
      </c>
      <c r="B42" s="445">
        <v>2142</v>
      </c>
      <c r="C42" s="232"/>
      <c r="D42" s="232"/>
      <c r="E42" s="233">
        <f t="shared" si="9"/>
        <v>0</v>
      </c>
      <c r="F42" s="232">
        <f t="shared" si="1"/>
        <v>0</v>
      </c>
      <c r="G42" s="232"/>
      <c r="H42" s="232"/>
      <c r="I42" s="232"/>
      <c r="J42" s="232"/>
    </row>
    <row r="43" spans="1:12" s="449" customFormat="1" ht="39.75" customHeight="1">
      <c r="A43" s="447" t="s">
        <v>335</v>
      </c>
      <c r="B43" s="450">
        <v>2200</v>
      </c>
      <c r="C43" s="233">
        <f>SUM(C19,C27,C36,C40)</f>
        <v>32629</v>
      </c>
      <c r="D43" s="233">
        <f t="shared" ref="D43:J43" si="21">SUM(D19,D27,D36,D40)</f>
        <v>38309</v>
      </c>
      <c r="E43" s="233">
        <f t="shared" si="21"/>
        <v>35400</v>
      </c>
      <c r="F43" s="233">
        <f>SUM(G43:J43)</f>
        <v>37875</v>
      </c>
      <c r="G43" s="233">
        <f t="shared" si="21"/>
        <v>9504</v>
      </c>
      <c r="H43" s="233">
        <f t="shared" si="21"/>
        <v>9511</v>
      </c>
      <c r="I43" s="233">
        <f t="shared" si="21"/>
        <v>9428</v>
      </c>
      <c r="J43" s="233">
        <f t="shared" si="21"/>
        <v>9432</v>
      </c>
      <c r="K43" s="287"/>
    </row>
    <row r="44" spans="1:12" s="449" customFormat="1" ht="60.75" customHeight="1">
      <c r="A44" s="452"/>
      <c r="B44" s="286"/>
      <c r="C44" s="453"/>
      <c r="D44" s="454"/>
      <c r="E44" s="454"/>
      <c r="F44" s="453"/>
      <c r="G44" s="454"/>
      <c r="H44" s="454"/>
      <c r="I44" s="454"/>
      <c r="J44" s="454"/>
    </row>
    <row r="45" spans="1:12" s="449" customFormat="1" ht="1.5" hidden="1" customHeight="1">
      <c r="A45" s="452"/>
      <c r="B45" s="286"/>
      <c r="C45" s="453"/>
      <c r="D45" s="454"/>
      <c r="E45" s="454"/>
      <c r="F45" s="453"/>
      <c r="G45" s="454"/>
      <c r="H45" s="454"/>
      <c r="I45" s="454"/>
      <c r="J45" s="454"/>
    </row>
    <row r="46" spans="1:12" s="166" customFormat="1" ht="40.5" customHeight="1">
      <c r="A46" s="278" t="s">
        <v>519</v>
      </c>
      <c r="B46" s="279"/>
      <c r="C46" s="513" t="s">
        <v>84</v>
      </c>
      <c r="D46" s="514"/>
      <c r="E46" s="514"/>
      <c r="F46" s="514"/>
      <c r="G46" s="280"/>
      <c r="H46" s="515" t="s">
        <v>657</v>
      </c>
      <c r="I46" s="515"/>
      <c r="J46" s="515"/>
    </row>
    <row r="47" spans="1:12" s="170" customFormat="1" ht="31.5" customHeight="1">
      <c r="A47" s="283" t="s">
        <v>365</v>
      </c>
      <c r="B47" s="282"/>
      <c r="C47" s="527" t="s">
        <v>69</v>
      </c>
      <c r="D47" s="527"/>
      <c r="E47" s="527"/>
      <c r="F47" s="527"/>
      <c r="G47" s="284"/>
      <c r="H47" s="520" t="s">
        <v>82</v>
      </c>
      <c r="I47" s="520"/>
      <c r="J47" s="520"/>
    </row>
    <row r="48" spans="1:12" s="286" customFormat="1">
      <c r="A48" s="455"/>
      <c r="F48" s="287"/>
      <c r="G48" s="287"/>
      <c r="H48" s="287"/>
      <c r="I48" s="287"/>
      <c r="J48" s="287"/>
      <c r="K48" s="287"/>
      <c r="L48" s="287"/>
    </row>
    <row r="49" spans="1:12" s="286" customFormat="1">
      <c r="A49" s="455"/>
      <c r="F49" s="287"/>
      <c r="G49" s="287"/>
      <c r="H49" s="287"/>
      <c r="I49" s="287"/>
      <c r="J49" s="287"/>
      <c r="K49" s="287"/>
      <c r="L49" s="287"/>
    </row>
    <row r="50" spans="1:12" s="286" customFormat="1">
      <c r="A50" s="455"/>
      <c r="F50" s="287"/>
      <c r="G50" s="287"/>
      <c r="H50" s="287"/>
      <c r="I50" s="287"/>
      <c r="J50" s="287"/>
      <c r="K50" s="287"/>
      <c r="L50" s="287"/>
    </row>
    <row r="51" spans="1:12" s="286" customFormat="1">
      <c r="A51" s="455"/>
      <c r="F51" s="287"/>
      <c r="G51" s="287"/>
      <c r="H51" s="287"/>
      <c r="I51" s="287"/>
      <c r="J51" s="287"/>
      <c r="K51" s="287"/>
      <c r="L51" s="287"/>
    </row>
    <row r="52" spans="1:12" s="286" customFormat="1">
      <c r="A52" s="455"/>
      <c r="C52" s="456"/>
      <c r="D52" s="456"/>
      <c r="E52" s="456"/>
      <c r="F52" s="456"/>
      <c r="G52" s="456"/>
      <c r="H52" s="456"/>
      <c r="I52" s="456"/>
      <c r="J52" s="456"/>
      <c r="K52" s="287"/>
      <c r="L52" s="287"/>
    </row>
    <row r="53" spans="1:12" s="286" customFormat="1">
      <c r="A53" s="455"/>
      <c r="F53" s="287"/>
      <c r="G53" s="287"/>
      <c r="H53" s="287"/>
      <c r="I53" s="287"/>
      <c r="J53" s="287"/>
      <c r="K53" s="287"/>
      <c r="L53" s="287"/>
    </row>
    <row r="54" spans="1:12" s="286" customFormat="1">
      <c r="A54" s="455"/>
      <c r="F54" s="287"/>
      <c r="G54" s="287"/>
      <c r="H54" s="287"/>
      <c r="I54" s="287"/>
      <c r="J54" s="287"/>
      <c r="K54" s="287"/>
      <c r="L54" s="287"/>
    </row>
    <row r="55" spans="1:12" s="286" customFormat="1">
      <c r="A55" s="455"/>
      <c r="F55" s="287"/>
      <c r="G55" s="287"/>
      <c r="H55" s="287"/>
      <c r="I55" s="287"/>
      <c r="J55" s="287"/>
      <c r="K55" s="287"/>
      <c r="L55" s="287"/>
    </row>
    <row r="56" spans="1:12" s="286" customFormat="1">
      <c r="A56" s="455"/>
      <c r="F56" s="287"/>
      <c r="G56" s="287"/>
      <c r="H56" s="287"/>
      <c r="I56" s="287"/>
      <c r="J56" s="287"/>
      <c r="K56" s="287"/>
      <c r="L56" s="287"/>
    </row>
    <row r="57" spans="1:12" s="286" customFormat="1">
      <c r="A57" s="455"/>
      <c r="F57" s="287"/>
      <c r="G57" s="287"/>
      <c r="H57" s="287"/>
      <c r="I57" s="287"/>
      <c r="J57" s="287"/>
      <c r="K57" s="287"/>
      <c r="L57" s="287"/>
    </row>
    <row r="58" spans="1:12" s="286" customFormat="1">
      <c r="A58" s="455"/>
      <c r="F58" s="287"/>
      <c r="G58" s="287"/>
      <c r="H58" s="287"/>
      <c r="I58" s="287"/>
      <c r="J58" s="287"/>
      <c r="K58" s="287"/>
      <c r="L58" s="287"/>
    </row>
    <row r="59" spans="1:12" s="286" customFormat="1">
      <c r="A59" s="455"/>
      <c r="F59" s="287"/>
      <c r="G59" s="287"/>
      <c r="H59" s="287"/>
      <c r="I59" s="287"/>
      <c r="J59" s="287"/>
      <c r="K59" s="287"/>
      <c r="L59" s="287"/>
    </row>
    <row r="60" spans="1:12" s="286" customFormat="1">
      <c r="A60" s="455"/>
      <c r="F60" s="287"/>
      <c r="G60" s="287"/>
      <c r="H60" s="287"/>
      <c r="I60" s="287"/>
      <c r="J60" s="287"/>
      <c r="K60" s="287"/>
      <c r="L60" s="287"/>
    </row>
    <row r="61" spans="1:12" s="286" customFormat="1">
      <c r="A61" s="455"/>
      <c r="F61" s="287"/>
      <c r="G61" s="287"/>
      <c r="H61" s="287"/>
      <c r="I61" s="287"/>
      <c r="J61" s="287"/>
      <c r="K61" s="287"/>
      <c r="L61" s="287"/>
    </row>
    <row r="62" spans="1:12" s="286" customFormat="1">
      <c r="A62" s="455"/>
      <c r="F62" s="287"/>
      <c r="G62" s="287"/>
      <c r="H62" s="287"/>
      <c r="I62" s="287"/>
      <c r="J62" s="287"/>
      <c r="K62" s="287"/>
      <c r="L62" s="287"/>
    </row>
    <row r="63" spans="1:12" s="286" customFormat="1">
      <c r="A63" s="455"/>
      <c r="F63" s="287"/>
      <c r="G63" s="287"/>
      <c r="H63" s="287"/>
      <c r="I63" s="287"/>
      <c r="J63" s="287"/>
      <c r="K63" s="287"/>
      <c r="L63" s="287"/>
    </row>
    <row r="64" spans="1:12" s="286" customFormat="1">
      <c r="A64" s="455"/>
      <c r="F64" s="287"/>
      <c r="G64" s="287"/>
      <c r="H64" s="287"/>
      <c r="I64" s="287"/>
      <c r="J64" s="287"/>
      <c r="K64" s="287"/>
      <c r="L64" s="287"/>
    </row>
    <row r="65" spans="1:12" s="286" customFormat="1">
      <c r="A65" s="455"/>
      <c r="F65" s="287"/>
      <c r="G65" s="287"/>
      <c r="H65" s="287"/>
      <c r="I65" s="287"/>
      <c r="J65" s="287"/>
      <c r="K65" s="287"/>
      <c r="L65" s="287"/>
    </row>
    <row r="66" spans="1:12" s="286" customFormat="1">
      <c r="A66" s="455"/>
      <c r="F66" s="287"/>
      <c r="G66" s="287"/>
      <c r="H66" s="287"/>
      <c r="I66" s="287"/>
      <c r="J66" s="287"/>
      <c r="K66" s="287"/>
      <c r="L66" s="287"/>
    </row>
    <row r="67" spans="1:12" s="286" customFormat="1">
      <c r="A67" s="455"/>
      <c r="F67" s="287"/>
      <c r="G67" s="287"/>
      <c r="H67" s="287"/>
      <c r="I67" s="287"/>
      <c r="J67" s="287"/>
      <c r="K67" s="287"/>
      <c r="L67" s="287"/>
    </row>
    <row r="68" spans="1:12" s="286" customFormat="1">
      <c r="A68" s="455"/>
      <c r="F68" s="287"/>
      <c r="G68" s="287"/>
      <c r="H68" s="287"/>
      <c r="I68" s="287"/>
      <c r="J68" s="287"/>
      <c r="K68" s="287"/>
      <c r="L68" s="287"/>
    </row>
    <row r="69" spans="1:12" s="286" customFormat="1">
      <c r="A69" s="455"/>
      <c r="F69" s="287"/>
      <c r="G69" s="287"/>
      <c r="H69" s="287"/>
      <c r="I69" s="287"/>
      <c r="J69" s="287"/>
      <c r="K69" s="287"/>
      <c r="L69" s="287"/>
    </row>
    <row r="70" spans="1:12" s="286" customFormat="1">
      <c r="A70" s="455"/>
      <c r="F70" s="287"/>
      <c r="G70" s="287"/>
      <c r="H70" s="287"/>
      <c r="I70" s="287"/>
      <c r="J70" s="287"/>
      <c r="K70" s="287"/>
      <c r="L70" s="287"/>
    </row>
    <row r="71" spans="1:12" s="286" customFormat="1">
      <c r="A71" s="455"/>
      <c r="F71" s="287"/>
      <c r="G71" s="287"/>
      <c r="H71" s="287"/>
      <c r="I71" s="287"/>
      <c r="J71" s="287"/>
      <c r="K71" s="287"/>
      <c r="L71" s="287"/>
    </row>
    <row r="72" spans="1:12" s="286" customFormat="1">
      <c r="A72" s="455"/>
      <c r="F72" s="287"/>
      <c r="G72" s="287"/>
      <c r="H72" s="287"/>
      <c r="I72" s="287"/>
      <c r="J72" s="287"/>
      <c r="K72" s="287"/>
      <c r="L72" s="287"/>
    </row>
    <row r="73" spans="1:12" s="286" customFormat="1">
      <c r="A73" s="455"/>
      <c r="F73" s="287"/>
      <c r="G73" s="287"/>
      <c r="H73" s="287"/>
      <c r="I73" s="287"/>
      <c r="J73" s="287"/>
      <c r="K73" s="287"/>
      <c r="L73" s="287"/>
    </row>
    <row r="74" spans="1:12" s="286" customFormat="1">
      <c r="A74" s="455"/>
      <c r="F74" s="287"/>
      <c r="G74" s="287"/>
      <c r="H74" s="287"/>
      <c r="I74" s="287"/>
      <c r="J74" s="287"/>
      <c r="K74" s="287"/>
      <c r="L74" s="287"/>
    </row>
    <row r="75" spans="1:12" s="286" customFormat="1">
      <c r="A75" s="455"/>
      <c r="F75" s="287"/>
      <c r="G75" s="287"/>
      <c r="H75" s="287"/>
      <c r="I75" s="287"/>
      <c r="J75" s="287"/>
      <c r="K75" s="287"/>
      <c r="L75" s="287"/>
    </row>
    <row r="76" spans="1:12" s="286" customFormat="1">
      <c r="A76" s="455"/>
      <c r="F76" s="287"/>
      <c r="G76" s="287"/>
      <c r="H76" s="287"/>
      <c r="I76" s="287"/>
      <c r="J76" s="287"/>
      <c r="K76" s="287"/>
      <c r="L76" s="287"/>
    </row>
    <row r="77" spans="1:12" s="286" customFormat="1">
      <c r="A77" s="455"/>
      <c r="F77" s="287"/>
      <c r="G77" s="287"/>
      <c r="H77" s="287"/>
      <c r="I77" s="287"/>
      <c r="J77" s="287"/>
      <c r="K77" s="287"/>
      <c r="L77" s="287"/>
    </row>
    <row r="78" spans="1:12" s="286" customFormat="1">
      <c r="A78" s="455"/>
      <c r="F78" s="287"/>
      <c r="G78" s="287"/>
      <c r="H78" s="287"/>
      <c r="I78" s="287"/>
      <c r="J78" s="287"/>
      <c r="K78" s="287"/>
      <c r="L78" s="287"/>
    </row>
    <row r="79" spans="1:12" s="286" customFormat="1">
      <c r="A79" s="455"/>
      <c r="F79" s="287"/>
      <c r="G79" s="287"/>
      <c r="H79" s="287"/>
      <c r="I79" s="287"/>
      <c r="J79" s="287"/>
      <c r="K79" s="287"/>
      <c r="L79" s="287"/>
    </row>
    <row r="80" spans="1:12" s="286" customFormat="1">
      <c r="A80" s="455"/>
      <c r="F80" s="287"/>
      <c r="G80" s="287"/>
      <c r="H80" s="287"/>
      <c r="I80" s="287"/>
      <c r="J80" s="287"/>
      <c r="K80" s="287"/>
      <c r="L80" s="287"/>
    </row>
    <row r="81" spans="1:12" s="286" customFormat="1">
      <c r="A81" s="455"/>
      <c r="F81" s="287"/>
      <c r="G81" s="287"/>
      <c r="H81" s="287"/>
      <c r="I81" s="287"/>
      <c r="J81" s="287"/>
      <c r="K81" s="287"/>
      <c r="L81" s="287"/>
    </row>
    <row r="82" spans="1:12" s="286" customFormat="1">
      <c r="A82" s="455"/>
      <c r="F82" s="287"/>
      <c r="G82" s="287"/>
      <c r="H82" s="287"/>
      <c r="I82" s="287"/>
      <c r="J82" s="287"/>
      <c r="K82" s="287"/>
      <c r="L82" s="287"/>
    </row>
    <row r="83" spans="1:12" s="286" customFormat="1">
      <c r="A83" s="455"/>
      <c r="F83" s="287"/>
      <c r="G83" s="287"/>
      <c r="H83" s="287"/>
      <c r="I83" s="287"/>
      <c r="J83" s="287"/>
      <c r="K83" s="287"/>
      <c r="L83" s="287"/>
    </row>
    <row r="84" spans="1:12" s="286" customFormat="1">
      <c r="A84" s="455"/>
      <c r="F84" s="287"/>
      <c r="G84" s="287"/>
      <c r="H84" s="287"/>
      <c r="I84" s="287"/>
      <c r="J84" s="287"/>
      <c r="K84" s="287"/>
      <c r="L84" s="287"/>
    </row>
    <row r="85" spans="1:12" s="286" customFormat="1">
      <c r="A85" s="455"/>
      <c r="F85" s="287"/>
      <c r="G85" s="287"/>
      <c r="H85" s="287"/>
      <c r="I85" s="287"/>
      <c r="J85" s="287"/>
      <c r="K85" s="287"/>
      <c r="L85" s="287"/>
    </row>
    <row r="86" spans="1:12" s="286" customFormat="1">
      <c r="A86" s="455"/>
      <c r="F86" s="287"/>
      <c r="G86" s="287"/>
      <c r="H86" s="287"/>
      <c r="I86" s="287"/>
      <c r="J86" s="287"/>
      <c r="K86" s="287"/>
      <c r="L86" s="287"/>
    </row>
    <row r="87" spans="1:12" s="286" customFormat="1">
      <c r="A87" s="455"/>
      <c r="F87" s="287"/>
      <c r="G87" s="287"/>
      <c r="H87" s="287"/>
      <c r="I87" s="287"/>
      <c r="J87" s="287"/>
      <c r="K87" s="287"/>
      <c r="L87" s="287"/>
    </row>
    <row r="88" spans="1:12" s="286" customFormat="1">
      <c r="A88" s="455"/>
      <c r="F88" s="287"/>
      <c r="G88" s="287"/>
      <c r="H88" s="287"/>
      <c r="I88" s="287"/>
      <c r="J88" s="287"/>
      <c r="K88" s="287"/>
      <c r="L88" s="287"/>
    </row>
    <row r="89" spans="1:12" s="286" customFormat="1">
      <c r="A89" s="455"/>
      <c r="F89" s="287"/>
      <c r="G89" s="287"/>
      <c r="H89" s="287"/>
      <c r="I89" s="287"/>
      <c r="J89" s="287"/>
      <c r="K89" s="287"/>
      <c r="L89" s="287"/>
    </row>
    <row r="90" spans="1:12" s="286" customFormat="1">
      <c r="A90" s="455"/>
      <c r="F90" s="287"/>
      <c r="G90" s="287"/>
      <c r="H90" s="287"/>
      <c r="I90" s="287"/>
      <c r="J90" s="287"/>
      <c r="K90" s="287"/>
      <c r="L90" s="287"/>
    </row>
    <row r="91" spans="1:12" s="286" customFormat="1">
      <c r="A91" s="455"/>
      <c r="F91" s="287"/>
      <c r="G91" s="287"/>
      <c r="H91" s="287"/>
      <c r="I91" s="287"/>
      <c r="J91" s="287"/>
      <c r="K91" s="287"/>
      <c r="L91" s="287"/>
    </row>
    <row r="92" spans="1:12" s="286" customFormat="1">
      <c r="A92" s="455"/>
      <c r="F92" s="287"/>
      <c r="G92" s="287"/>
      <c r="H92" s="287"/>
      <c r="I92" s="287"/>
      <c r="J92" s="287"/>
      <c r="K92" s="287"/>
      <c r="L92" s="287"/>
    </row>
    <row r="93" spans="1:12" s="286" customFormat="1">
      <c r="A93" s="455"/>
      <c r="F93" s="287"/>
      <c r="G93" s="287"/>
      <c r="H93" s="287"/>
      <c r="I93" s="287"/>
      <c r="J93" s="287"/>
      <c r="K93" s="287"/>
      <c r="L93" s="287"/>
    </row>
    <row r="94" spans="1:12" s="286" customFormat="1">
      <c r="A94" s="455"/>
      <c r="F94" s="287"/>
      <c r="G94" s="287"/>
      <c r="H94" s="287"/>
      <c r="I94" s="287"/>
      <c r="J94" s="287"/>
      <c r="K94" s="287"/>
      <c r="L94" s="287"/>
    </row>
    <row r="95" spans="1:12" s="286" customFormat="1">
      <c r="A95" s="455"/>
      <c r="F95" s="287"/>
      <c r="G95" s="287"/>
      <c r="H95" s="287"/>
      <c r="I95" s="287"/>
      <c r="J95" s="287"/>
      <c r="K95" s="287"/>
      <c r="L95" s="287"/>
    </row>
    <row r="96" spans="1:12" s="286" customFormat="1">
      <c r="A96" s="455"/>
      <c r="F96" s="287"/>
      <c r="G96" s="287"/>
      <c r="H96" s="287"/>
      <c r="I96" s="287"/>
      <c r="J96" s="287"/>
      <c r="K96" s="287"/>
      <c r="L96" s="287"/>
    </row>
    <row r="97" spans="1:12" s="286" customFormat="1">
      <c r="A97" s="455"/>
      <c r="F97" s="287"/>
      <c r="G97" s="287"/>
      <c r="H97" s="287"/>
      <c r="I97" s="287"/>
      <c r="J97" s="287"/>
      <c r="K97" s="287"/>
      <c r="L97" s="287"/>
    </row>
    <row r="98" spans="1:12" s="286" customFormat="1">
      <c r="A98" s="455"/>
      <c r="F98" s="287"/>
      <c r="G98" s="287"/>
      <c r="H98" s="287"/>
      <c r="I98" s="287"/>
      <c r="J98" s="287"/>
      <c r="K98" s="287"/>
      <c r="L98" s="287"/>
    </row>
    <row r="99" spans="1:12" s="286" customFormat="1">
      <c r="A99" s="455"/>
      <c r="F99" s="287"/>
      <c r="G99" s="287"/>
      <c r="H99" s="287"/>
      <c r="I99" s="287"/>
      <c r="J99" s="287"/>
      <c r="K99" s="287"/>
      <c r="L99" s="287"/>
    </row>
    <row r="100" spans="1:12" s="286" customFormat="1">
      <c r="A100" s="455"/>
      <c r="F100" s="287"/>
      <c r="G100" s="287"/>
      <c r="H100" s="287"/>
      <c r="I100" s="287"/>
      <c r="J100" s="287"/>
      <c r="K100" s="287"/>
      <c r="L100" s="287"/>
    </row>
    <row r="101" spans="1:12" s="286" customFormat="1">
      <c r="A101" s="455"/>
      <c r="F101" s="287"/>
      <c r="G101" s="287"/>
      <c r="H101" s="287"/>
      <c r="I101" s="287"/>
      <c r="J101" s="287"/>
      <c r="K101" s="287"/>
      <c r="L101" s="287"/>
    </row>
    <row r="102" spans="1:12" s="286" customFormat="1">
      <c r="A102" s="455"/>
      <c r="F102" s="287"/>
      <c r="G102" s="287"/>
      <c r="H102" s="287"/>
      <c r="I102" s="287"/>
      <c r="J102" s="287"/>
      <c r="K102" s="287"/>
      <c r="L102" s="287"/>
    </row>
    <row r="103" spans="1:12" s="286" customFormat="1">
      <c r="A103" s="455"/>
      <c r="F103" s="287"/>
      <c r="G103" s="287"/>
      <c r="H103" s="287"/>
      <c r="I103" s="287"/>
      <c r="J103" s="287"/>
      <c r="K103" s="287"/>
      <c r="L103" s="287"/>
    </row>
    <row r="104" spans="1:12" s="286" customFormat="1">
      <c r="A104" s="455"/>
      <c r="F104" s="287"/>
      <c r="G104" s="287"/>
      <c r="H104" s="287"/>
      <c r="I104" s="287"/>
      <c r="J104" s="287"/>
      <c r="K104" s="287"/>
      <c r="L104" s="287"/>
    </row>
    <row r="105" spans="1:12" s="286" customFormat="1">
      <c r="A105" s="455"/>
      <c r="F105" s="287"/>
      <c r="G105" s="287"/>
      <c r="H105" s="287"/>
      <c r="I105" s="287"/>
      <c r="J105" s="287"/>
      <c r="K105" s="287"/>
      <c r="L105" s="287"/>
    </row>
    <row r="106" spans="1:12" s="286" customFormat="1">
      <c r="A106" s="455"/>
      <c r="F106" s="287"/>
      <c r="G106" s="287"/>
      <c r="H106" s="287"/>
      <c r="I106" s="287"/>
      <c r="J106" s="287"/>
      <c r="K106" s="287"/>
      <c r="L106" s="287"/>
    </row>
    <row r="107" spans="1:12" s="286" customFormat="1">
      <c r="A107" s="455"/>
      <c r="F107" s="287"/>
      <c r="G107" s="287"/>
      <c r="H107" s="287"/>
      <c r="I107" s="287"/>
      <c r="J107" s="287"/>
      <c r="K107" s="287"/>
      <c r="L107" s="287"/>
    </row>
    <row r="108" spans="1:12" s="286" customFormat="1">
      <c r="A108" s="455"/>
      <c r="F108" s="287"/>
      <c r="G108" s="287"/>
      <c r="H108" s="287"/>
      <c r="I108" s="287"/>
      <c r="J108" s="287"/>
      <c r="K108" s="287"/>
      <c r="L108" s="287"/>
    </row>
    <row r="109" spans="1:12" s="286" customFormat="1">
      <c r="A109" s="455"/>
      <c r="F109" s="287"/>
      <c r="G109" s="287"/>
      <c r="H109" s="287"/>
      <c r="I109" s="287"/>
      <c r="J109" s="287"/>
      <c r="K109" s="287"/>
      <c r="L109" s="287"/>
    </row>
    <row r="110" spans="1:12" s="286" customFormat="1">
      <c r="A110" s="455"/>
      <c r="F110" s="287"/>
      <c r="G110" s="287"/>
      <c r="H110" s="287"/>
      <c r="I110" s="287"/>
      <c r="J110" s="287"/>
      <c r="K110" s="287"/>
      <c r="L110" s="287"/>
    </row>
    <row r="111" spans="1:12" s="286" customFormat="1">
      <c r="A111" s="455"/>
      <c r="F111" s="287"/>
      <c r="G111" s="287"/>
      <c r="H111" s="287"/>
      <c r="I111" s="287"/>
      <c r="J111" s="287"/>
      <c r="K111" s="287"/>
      <c r="L111" s="287"/>
    </row>
    <row r="112" spans="1:12" s="286" customFormat="1">
      <c r="A112" s="455"/>
      <c r="F112" s="287"/>
      <c r="G112" s="287"/>
      <c r="H112" s="287"/>
      <c r="I112" s="287"/>
      <c r="J112" s="287"/>
      <c r="K112" s="287"/>
      <c r="L112" s="287"/>
    </row>
    <row r="113" spans="1:12" s="286" customFormat="1">
      <c r="A113" s="455"/>
      <c r="F113" s="287"/>
      <c r="G113" s="287"/>
      <c r="H113" s="287"/>
      <c r="I113" s="287"/>
      <c r="J113" s="287"/>
      <c r="K113" s="287"/>
      <c r="L113" s="287"/>
    </row>
    <row r="114" spans="1:12" s="286" customFormat="1">
      <c r="A114" s="455"/>
      <c r="F114" s="287"/>
      <c r="G114" s="287"/>
      <c r="H114" s="287"/>
      <c r="I114" s="287"/>
      <c r="J114" s="287"/>
      <c r="K114" s="287"/>
      <c r="L114" s="287"/>
    </row>
    <row r="115" spans="1:12" s="286" customFormat="1">
      <c r="A115" s="455"/>
      <c r="F115" s="287"/>
      <c r="G115" s="287"/>
      <c r="H115" s="287"/>
      <c r="I115" s="287"/>
      <c r="J115" s="287"/>
      <c r="K115" s="287"/>
      <c r="L115" s="287"/>
    </row>
    <row r="116" spans="1:12" s="286" customFormat="1">
      <c r="A116" s="455"/>
      <c r="F116" s="287"/>
      <c r="G116" s="287"/>
      <c r="H116" s="287"/>
      <c r="I116" s="287"/>
      <c r="J116" s="287"/>
      <c r="K116" s="287"/>
      <c r="L116" s="287"/>
    </row>
    <row r="117" spans="1:12" s="286" customFormat="1">
      <c r="A117" s="455"/>
      <c r="F117" s="287"/>
      <c r="G117" s="287"/>
      <c r="H117" s="287"/>
      <c r="I117" s="287"/>
      <c r="J117" s="287"/>
      <c r="K117" s="287"/>
      <c r="L117" s="287"/>
    </row>
    <row r="118" spans="1:12" s="286" customFormat="1">
      <c r="A118" s="455"/>
      <c r="F118" s="287"/>
      <c r="G118" s="287"/>
      <c r="H118" s="287"/>
      <c r="I118" s="287"/>
      <c r="J118" s="287"/>
      <c r="K118" s="287"/>
      <c r="L118" s="287"/>
    </row>
    <row r="119" spans="1:12" s="286" customFormat="1">
      <c r="A119" s="455"/>
      <c r="F119" s="287"/>
      <c r="G119" s="287"/>
      <c r="H119" s="287"/>
      <c r="I119" s="287"/>
      <c r="J119" s="287"/>
      <c r="K119" s="287"/>
      <c r="L119" s="287"/>
    </row>
    <row r="120" spans="1:12" s="286" customFormat="1">
      <c r="A120" s="455"/>
      <c r="F120" s="287"/>
      <c r="G120" s="287"/>
      <c r="H120" s="287"/>
      <c r="I120" s="287"/>
      <c r="J120" s="287"/>
      <c r="K120" s="287"/>
      <c r="L120" s="287"/>
    </row>
    <row r="121" spans="1:12" s="286" customFormat="1">
      <c r="A121" s="455"/>
      <c r="F121" s="287"/>
      <c r="G121" s="287"/>
      <c r="H121" s="287"/>
      <c r="I121" s="287"/>
      <c r="J121" s="287"/>
      <c r="K121" s="287"/>
      <c r="L121" s="287"/>
    </row>
    <row r="122" spans="1:12" s="286" customFormat="1">
      <c r="A122" s="455"/>
      <c r="F122" s="287"/>
      <c r="G122" s="287"/>
      <c r="H122" s="287"/>
      <c r="I122" s="287"/>
      <c r="J122" s="287"/>
      <c r="K122" s="287"/>
      <c r="L122" s="287"/>
    </row>
    <row r="123" spans="1:12" s="286" customFormat="1">
      <c r="A123" s="455"/>
      <c r="F123" s="287"/>
      <c r="G123" s="287"/>
      <c r="H123" s="287"/>
      <c r="I123" s="287"/>
      <c r="J123" s="287"/>
      <c r="K123" s="287"/>
      <c r="L123" s="287"/>
    </row>
    <row r="124" spans="1:12" s="286" customFormat="1">
      <c r="A124" s="455"/>
      <c r="F124" s="287"/>
      <c r="G124" s="287"/>
      <c r="H124" s="287"/>
      <c r="I124" s="287"/>
      <c r="J124" s="287"/>
      <c r="K124" s="287"/>
      <c r="L124" s="287"/>
    </row>
    <row r="125" spans="1:12" s="286" customFormat="1">
      <c r="A125" s="455"/>
      <c r="F125" s="287"/>
      <c r="G125" s="287"/>
      <c r="H125" s="287"/>
      <c r="I125" s="287"/>
      <c r="J125" s="287"/>
      <c r="K125" s="287"/>
      <c r="L125" s="287"/>
    </row>
    <row r="126" spans="1:12" s="286" customFormat="1">
      <c r="A126" s="455"/>
      <c r="F126" s="287"/>
      <c r="G126" s="287"/>
      <c r="H126" s="287"/>
      <c r="I126" s="287"/>
      <c r="J126" s="287"/>
      <c r="K126" s="287"/>
      <c r="L126" s="287"/>
    </row>
    <row r="127" spans="1:12" s="286" customFormat="1">
      <c r="A127" s="455"/>
      <c r="F127" s="287"/>
      <c r="G127" s="287"/>
      <c r="H127" s="287"/>
      <c r="I127" s="287"/>
      <c r="J127" s="287"/>
      <c r="K127" s="287"/>
      <c r="L127" s="287"/>
    </row>
    <row r="128" spans="1:12" s="286" customFormat="1">
      <c r="A128" s="455"/>
      <c r="F128" s="287"/>
      <c r="G128" s="287"/>
      <c r="H128" s="287"/>
      <c r="I128" s="287"/>
      <c r="J128" s="287"/>
      <c r="K128" s="287"/>
      <c r="L128" s="287"/>
    </row>
    <row r="129" spans="1:12" s="286" customFormat="1">
      <c r="A129" s="455"/>
      <c r="F129" s="287"/>
      <c r="G129" s="287"/>
      <c r="H129" s="287"/>
      <c r="I129" s="287"/>
      <c r="J129" s="287"/>
      <c r="K129" s="287"/>
      <c r="L129" s="287"/>
    </row>
    <row r="130" spans="1:12" s="286" customFormat="1">
      <c r="A130" s="455"/>
      <c r="F130" s="287"/>
      <c r="G130" s="287"/>
      <c r="H130" s="287"/>
      <c r="I130" s="287"/>
      <c r="J130" s="287"/>
      <c r="K130" s="287"/>
      <c r="L130" s="287"/>
    </row>
    <row r="131" spans="1:12" s="286" customFormat="1">
      <c r="A131" s="455"/>
      <c r="F131" s="287"/>
      <c r="G131" s="287"/>
      <c r="H131" s="287"/>
      <c r="I131" s="287"/>
      <c r="J131" s="287"/>
      <c r="K131" s="287"/>
      <c r="L131" s="287"/>
    </row>
    <row r="132" spans="1:12" s="286" customFormat="1">
      <c r="A132" s="455"/>
      <c r="F132" s="287"/>
      <c r="G132" s="287"/>
      <c r="H132" s="287"/>
      <c r="I132" s="287"/>
      <c r="J132" s="287"/>
      <c r="K132" s="287"/>
      <c r="L132" s="287"/>
    </row>
    <row r="133" spans="1:12" s="286" customFormat="1">
      <c r="A133" s="455"/>
      <c r="F133" s="287"/>
      <c r="G133" s="287"/>
      <c r="H133" s="287"/>
      <c r="I133" s="287"/>
      <c r="J133" s="287"/>
      <c r="K133" s="287"/>
      <c r="L133" s="287"/>
    </row>
    <row r="134" spans="1:12" s="286" customFormat="1">
      <c r="A134" s="455"/>
      <c r="F134" s="287"/>
      <c r="G134" s="287"/>
      <c r="H134" s="287"/>
      <c r="I134" s="287"/>
      <c r="J134" s="287"/>
      <c r="K134" s="287"/>
      <c r="L134" s="287"/>
    </row>
    <row r="135" spans="1:12" s="286" customFormat="1">
      <c r="A135" s="455"/>
      <c r="F135" s="287"/>
      <c r="G135" s="287"/>
      <c r="H135" s="287"/>
      <c r="I135" s="287"/>
      <c r="J135" s="287"/>
      <c r="K135" s="287"/>
      <c r="L135" s="287"/>
    </row>
    <row r="136" spans="1:12" s="286" customFormat="1">
      <c r="A136" s="455"/>
      <c r="F136" s="287"/>
      <c r="G136" s="287"/>
      <c r="H136" s="287"/>
      <c r="I136" s="287"/>
      <c r="J136" s="287"/>
      <c r="K136" s="287"/>
      <c r="L136" s="287"/>
    </row>
    <row r="137" spans="1:12" s="286" customFormat="1">
      <c r="A137" s="455"/>
      <c r="F137" s="287"/>
      <c r="G137" s="287"/>
      <c r="H137" s="287"/>
      <c r="I137" s="287"/>
      <c r="J137" s="287"/>
      <c r="K137" s="287"/>
      <c r="L137" s="287"/>
    </row>
    <row r="138" spans="1:12" s="286" customFormat="1">
      <c r="A138" s="455"/>
      <c r="F138" s="287"/>
      <c r="G138" s="287"/>
      <c r="H138" s="287"/>
      <c r="I138" s="287"/>
      <c r="J138" s="287"/>
      <c r="K138" s="287"/>
      <c r="L138" s="287"/>
    </row>
    <row r="139" spans="1:12" s="286" customFormat="1">
      <c r="A139" s="455"/>
      <c r="F139" s="287"/>
      <c r="G139" s="287"/>
      <c r="H139" s="287"/>
      <c r="I139" s="287"/>
      <c r="J139" s="287"/>
      <c r="K139" s="287"/>
      <c r="L139" s="287"/>
    </row>
    <row r="140" spans="1:12" s="286" customFormat="1">
      <c r="A140" s="455"/>
      <c r="F140" s="287"/>
      <c r="G140" s="287"/>
      <c r="H140" s="287"/>
      <c r="I140" s="287"/>
      <c r="J140" s="287"/>
      <c r="K140" s="287"/>
      <c r="L140" s="287"/>
    </row>
    <row r="141" spans="1:12" s="286" customFormat="1">
      <c r="A141" s="455"/>
      <c r="F141" s="287"/>
      <c r="G141" s="287"/>
      <c r="H141" s="287"/>
      <c r="I141" s="287"/>
      <c r="J141" s="287"/>
      <c r="K141" s="287"/>
      <c r="L141" s="287"/>
    </row>
    <row r="142" spans="1:12" s="286" customFormat="1">
      <c r="A142" s="455"/>
      <c r="F142" s="287"/>
      <c r="G142" s="287"/>
      <c r="H142" s="287"/>
      <c r="I142" s="287"/>
      <c r="J142" s="287"/>
      <c r="K142" s="287"/>
      <c r="L142" s="287"/>
    </row>
    <row r="143" spans="1:12" s="286" customFormat="1">
      <c r="A143" s="455"/>
      <c r="F143" s="287"/>
      <c r="G143" s="287"/>
      <c r="H143" s="287"/>
      <c r="I143" s="287"/>
      <c r="J143" s="287"/>
      <c r="K143" s="287"/>
      <c r="L143" s="287"/>
    </row>
    <row r="144" spans="1:12" s="286" customFormat="1">
      <c r="A144" s="455"/>
      <c r="F144" s="287"/>
      <c r="G144" s="287"/>
      <c r="H144" s="287"/>
      <c r="I144" s="287"/>
      <c r="J144" s="287"/>
      <c r="K144" s="287"/>
      <c r="L144" s="287"/>
    </row>
    <row r="145" spans="1:12" s="286" customFormat="1">
      <c r="A145" s="455"/>
      <c r="F145" s="287"/>
      <c r="G145" s="287"/>
      <c r="H145" s="287"/>
      <c r="I145" s="287"/>
      <c r="J145" s="287"/>
      <c r="K145" s="287"/>
      <c r="L145" s="287"/>
    </row>
    <row r="146" spans="1:12" s="286" customFormat="1">
      <c r="A146" s="455"/>
      <c r="F146" s="287"/>
      <c r="G146" s="287"/>
      <c r="H146" s="287"/>
      <c r="I146" s="287"/>
      <c r="J146" s="287"/>
      <c r="K146" s="287"/>
      <c r="L146" s="287"/>
    </row>
    <row r="147" spans="1:12" s="286" customFormat="1">
      <c r="A147" s="455"/>
      <c r="F147" s="287"/>
      <c r="G147" s="287"/>
      <c r="H147" s="287"/>
      <c r="I147" s="287"/>
      <c r="J147" s="287"/>
      <c r="K147" s="287"/>
      <c r="L147" s="287"/>
    </row>
    <row r="148" spans="1:12" s="286" customFormat="1">
      <c r="A148" s="455"/>
      <c r="F148" s="287"/>
      <c r="G148" s="287"/>
      <c r="H148" s="287"/>
      <c r="I148" s="287"/>
      <c r="J148" s="287"/>
      <c r="K148" s="287"/>
      <c r="L148" s="287"/>
    </row>
    <row r="149" spans="1:12" s="286" customFormat="1">
      <c r="A149" s="455"/>
      <c r="F149" s="287"/>
      <c r="G149" s="287"/>
      <c r="H149" s="287"/>
      <c r="I149" s="287"/>
      <c r="J149" s="287"/>
      <c r="K149" s="287"/>
      <c r="L149" s="287"/>
    </row>
    <row r="150" spans="1:12" s="286" customFormat="1">
      <c r="A150" s="455"/>
      <c r="F150" s="287"/>
      <c r="G150" s="287"/>
      <c r="H150" s="287"/>
      <c r="I150" s="287"/>
      <c r="J150" s="287"/>
      <c r="K150" s="287"/>
      <c r="L150" s="287"/>
    </row>
    <row r="151" spans="1:12" s="286" customFormat="1">
      <c r="A151" s="455"/>
      <c r="F151" s="287"/>
      <c r="G151" s="287"/>
      <c r="H151" s="287"/>
      <c r="I151" s="287"/>
      <c r="J151" s="287"/>
      <c r="K151" s="287"/>
      <c r="L151" s="287"/>
    </row>
    <row r="152" spans="1:12" s="286" customFormat="1">
      <c r="A152" s="455"/>
      <c r="F152" s="287"/>
      <c r="G152" s="287"/>
      <c r="H152" s="287"/>
      <c r="I152" s="287"/>
      <c r="J152" s="287"/>
      <c r="K152" s="287"/>
      <c r="L152" s="287"/>
    </row>
    <row r="153" spans="1:12" s="286" customFormat="1">
      <c r="A153" s="455"/>
      <c r="F153" s="287"/>
      <c r="G153" s="287"/>
      <c r="H153" s="287"/>
      <c r="I153" s="287"/>
      <c r="J153" s="287"/>
      <c r="K153" s="287"/>
      <c r="L153" s="287"/>
    </row>
    <row r="154" spans="1:12" s="286" customFormat="1">
      <c r="A154" s="455"/>
      <c r="F154" s="287"/>
      <c r="G154" s="287"/>
      <c r="H154" s="287"/>
      <c r="I154" s="287"/>
      <c r="J154" s="287"/>
      <c r="K154" s="287"/>
      <c r="L154" s="287"/>
    </row>
    <row r="155" spans="1:12" s="286" customFormat="1">
      <c r="A155" s="455"/>
      <c r="F155" s="287"/>
      <c r="G155" s="287"/>
      <c r="H155" s="287"/>
      <c r="I155" s="287"/>
      <c r="J155" s="287"/>
      <c r="K155" s="287"/>
      <c r="L155" s="287"/>
    </row>
    <row r="156" spans="1:12" s="286" customFormat="1">
      <c r="A156" s="455"/>
      <c r="F156" s="287"/>
      <c r="G156" s="287"/>
      <c r="H156" s="287"/>
      <c r="I156" s="287"/>
      <c r="J156" s="287"/>
      <c r="K156" s="287"/>
      <c r="L156" s="287"/>
    </row>
    <row r="157" spans="1:12" s="286" customFormat="1">
      <c r="A157" s="455"/>
      <c r="F157" s="287"/>
      <c r="G157" s="287"/>
      <c r="H157" s="287"/>
      <c r="I157" s="287"/>
      <c r="J157" s="287"/>
      <c r="K157" s="287"/>
      <c r="L157" s="287"/>
    </row>
    <row r="158" spans="1:12" s="286" customFormat="1">
      <c r="A158" s="455"/>
      <c r="F158" s="287"/>
      <c r="G158" s="287"/>
      <c r="H158" s="287"/>
      <c r="I158" s="287"/>
      <c r="J158" s="287"/>
      <c r="K158" s="287"/>
      <c r="L158" s="287"/>
    </row>
    <row r="159" spans="1:12" s="286" customFormat="1">
      <c r="A159" s="455"/>
      <c r="F159" s="287"/>
      <c r="G159" s="287"/>
      <c r="H159" s="287"/>
      <c r="I159" s="287"/>
      <c r="J159" s="287"/>
      <c r="K159" s="287"/>
      <c r="L159" s="287"/>
    </row>
    <row r="160" spans="1:12" s="286" customFormat="1">
      <c r="A160" s="455"/>
      <c r="F160" s="287"/>
      <c r="G160" s="287"/>
      <c r="H160" s="287"/>
      <c r="I160" s="287"/>
      <c r="J160" s="287"/>
      <c r="K160" s="287"/>
      <c r="L160" s="287"/>
    </row>
    <row r="161" spans="1:12" s="286" customFormat="1">
      <c r="A161" s="455"/>
      <c r="F161" s="287"/>
      <c r="G161" s="287"/>
      <c r="H161" s="287"/>
      <c r="I161" s="287"/>
      <c r="J161" s="287"/>
      <c r="K161" s="287"/>
      <c r="L161" s="287"/>
    </row>
    <row r="162" spans="1:12" s="286" customFormat="1">
      <c r="A162" s="455"/>
      <c r="F162" s="287"/>
      <c r="G162" s="287"/>
      <c r="H162" s="287"/>
      <c r="I162" s="287"/>
      <c r="J162" s="287"/>
      <c r="K162" s="287"/>
      <c r="L162" s="287"/>
    </row>
    <row r="163" spans="1:12" s="286" customFormat="1">
      <c r="A163" s="455"/>
      <c r="F163" s="287"/>
      <c r="G163" s="287"/>
      <c r="H163" s="287"/>
      <c r="I163" s="287"/>
      <c r="J163" s="287"/>
      <c r="K163" s="287"/>
      <c r="L163" s="287"/>
    </row>
    <row r="164" spans="1:12" s="286" customFormat="1">
      <c r="A164" s="455"/>
      <c r="F164" s="287"/>
      <c r="G164" s="287"/>
      <c r="H164" s="287"/>
      <c r="I164" s="287"/>
      <c r="J164" s="287"/>
      <c r="K164" s="287"/>
      <c r="L164" s="287"/>
    </row>
    <row r="165" spans="1:12" s="286" customFormat="1">
      <c r="A165" s="455"/>
      <c r="F165" s="287"/>
      <c r="G165" s="287"/>
      <c r="H165" s="287"/>
      <c r="I165" s="287"/>
      <c r="J165" s="287"/>
      <c r="K165" s="287"/>
      <c r="L165" s="287"/>
    </row>
    <row r="166" spans="1:12" s="286" customFormat="1">
      <c r="A166" s="455"/>
      <c r="F166" s="287"/>
      <c r="G166" s="287"/>
      <c r="H166" s="287"/>
      <c r="I166" s="287"/>
      <c r="J166" s="287"/>
      <c r="K166" s="287"/>
      <c r="L166" s="287"/>
    </row>
    <row r="167" spans="1:12" s="286" customFormat="1">
      <c r="A167" s="455"/>
      <c r="F167" s="287"/>
      <c r="G167" s="287"/>
      <c r="H167" s="287"/>
      <c r="I167" s="287"/>
      <c r="J167" s="287"/>
      <c r="K167" s="287"/>
      <c r="L167" s="287"/>
    </row>
    <row r="168" spans="1:12" s="286" customFormat="1">
      <c r="A168" s="455"/>
      <c r="F168" s="287"/>
      <c r="G168" s="287"/>
      <c r="H168" s="287"/>
      <c r="I168" s="287"/>
      <c r="J168" s="287"/>
      <c r="K168" s="287"/>
      <c r="L168" s="287"/>
    </row>
    <row r="169" spans="1:12" s="286" customFormat="1">
      <c r="A169" s="455"/>
      <c r="F169" s="287"/>
      <c r="G169" s="287"/>
      <c r="H169" s="287"/>
      <c r="I169" s="287"/>
      <c r="J169" s="287"/>
      <c r="K169" s="287"/>
      <c r="L169" s="287"/>
    </row>
    <row r="170" spans="1:12" s="286" customFormat="1">
      <c r="A170" s="455"/>
      <c r="F170" s="287"/>
      <c r="G170" s="287"/>
      <c r="H170" s="287"/>
      <c r="I170" s="287"/>
      <c r="J170" s="287"/>
      <c r="K170" s="287"/>
      <c r="L170" s="287"/>
    </row>
    <row r="171" spans="1:12" s="286" customFormat="1">
      <c r="A171" s="455"/>
      <c r="F171" s="287"/>
      <c r="G171" s="287"/>
      <c r="H171" s="287"/>
      <c r="I171" s="287"/>
      <c r="J171" s="287"/>
      <c r="K171" s="287"/>
      <c r="L171" s="287"/>
    </row>
    <row r="172" spans="1:12" s="286" customFormat="1">
      <c r="A172" s="455"/>
      <c r="F172" s="287"/>
      <c r="G172" s="287"/>
      <c r="H172" s="287"/>
      <c r="I172" s="287"/>
      <c r="J172" s="287"/>
      <c r="K172" s="287"/>
      <c r="L172" s="287"/>
    </row>
    <row r="173" spans="1:12" s="286" customFormat="1">
      <c r="A173" s="455"/>
      <c r="F173" s="287"/>
      <c r="G173" s="287"/>
      <c r="H173" s="287"/>
      <c r="I173" s="287"/>
      <c r="J173" s="287"/>
      <c r="K173" s="287"/>
      <c r="L173" s="287"/>
    </row>
    <row r="174" spans="1:12" s="286" customFormat="1">
      <c r="A174" s="455"/>
      <c r="F174" s="287"/>
      <c r="G174" s="287"/>
      <c r="H174" s="287"/>
      <c r="I174" s="287"/>
      <c r="J174" s="287"/>
      <c r="K174" s="287"/>
      <c r="L174" s="287"/>
    </row>
    <row r="175" spans="1:12" s="286" customFormat="1">
      <c r="A175" s="455"/>
      <c r="F175" s="287"/>
      <c r="G175" s="287"/>
      <c r="H175" s="287"/>
      <c r="I175" s="287"/>
      <c r="J175" s="287"/>
      <c r="K175" s="287"/>
      <c r="L175" s="287"/>
    </row>
    <row r="176" spans="1:12" s="286" customFormat="1">
      <c r="A176" s="455"/>
      <c r="F176" s="287"/>
      <c r="G176" s="287"/>
      <c r="H176" s="287"/>
      <c r="I176" s="287"/>
      <c r="J176" s="287"/>
      <c r="K176" s="287"/>
      <c r="L176" s="287"/>
    </row>
    <row r="177" spans="1:12" s="286" customFormat="1">
      <c r="A177" s="455"/>
      <c r="F177" s="287"/>
      <c r="G177" s="287"/>
      <c r="H177" s="287"/>
      <c r="I177" s="287"/>
      <c r="J177" s="287"/>
      <c r="K177" s="287"/>
      <c r="L177" s="287"/>
    </row>
    <row r="178" spans="1:12" s="286" customFormat="1">
      <c r="A178" s="455"/>
      <c r="F178" s="287"/>
      <c r="G178" s="287"/>
      <c r="H178" s="287"/>
      <c r="I178" s="287"/>
      <c r="J178" s="287"/>
      <c r="K178" s="287"/>
      <c r="L178" s="287"/>
    </row>
    <row r="179" spans="1:12" s="286" customFormat="1">
      <c r="A179" s="455"/>
      <c r="F179" s="287"/>
      <c r="G179" s="287"/>
      <c r="H179" s="287"/>
      <c r="I179" s="287"/>
      <c r="J179" s="287"/>
      <c r="K179" s="287"/>
      <c r="L179" s="287"/>
    </row>
    <row r="180" spans="1:12" s="286" customFormat="1">
      <c r="A180" s="455"/>
      <c r="F180" s="287"/>
      <c r="G180" s="287"/>
      <c r="H180" s="287"/>
      <c r="I180" s="287"/>
      <c r="J180" s="287"/>
      <c r="K180" s="287"/>
      <c r="L180" s="287"/>
    </row>
    <row r="181" spans="1:12" s="286" customFormat="1">
      <c r="A181" s="455"/>
      <c r="F181" s="287"/>
      <c r="G181" s="287"/>
      <c r="H181" s="287"/>
      <c r="I181" s="287"/>
      <c r="J181" s="287"/>
      <c r="K181" s="287"/>
      <c r="L181" s="287"/>
    </row>
    <row r="182" spans="1:12" s="286" customFormat="1">
      <c r="A182" s="455"/>
      <c r="F182" s="287"/>
      <c r="G182" s="287"/>
      <c r="H182" s="287"/>
      <c r="I182" s="287"/>
      <c r="J182" s="287"/>
      <c r="K182" s="287"/>
      <c r="L182" s="287"/>
    </row>
    <row r="183" spans="1:12" s="286" customFormat="1">
      <c r="A183" s="455"/>
      <c r="F183" s="287"/>
      <c r="G183" s="287"/>
      <c r="H183" s="287"/>
      <c r="I183" s="287"/>
      <c r="J183" s="287"/>
      <c r="K183" s="287"/>
      <c r="L183" s="287"/>
    </row>
    <row r="184" spans="1:12" s="286" customFormat="1">
      <c r="A184" s="455"/>
      <c r="F184" s="287"/>
      <c r="G184" s="287"/>
      <c r="H184" s="287"/>
      <c r="I184" s="287"/>
      <c r="J184" s="287"/>
      <c r="K184" s="287"/>
      <c r="L184" s="287"/>
    </row>
    <row r="185" spans="1:12" s="286" customFormat="1">
      <c r="A185" s="455"/>
      <c r="F185" s="287"/>
      <c r="G185" s="287"/>
      <c r="H185" s="287"/>
      <c r="I185" s="287"/>
      <c r="J185" s="287"/>
      <c r="K185" s="287"/>
      <c r="L185" s="287"/>
    </row>
    <row r="186" spans="1:12" s="286" customFormat="1">
      <c r="A186" s="455"/>
      <c r="F186" s="287"/>
      <c r="G186" s="287"/>
      <c r="H186" s="287"/>
      <c r="I186" s="287"/>
      <c r="J186" s="287"/>
      <c r="K186" s="287"/>
      <c r="L186" s="287"/>
    </row>
    <row r="187" spans="1:12" s="286" customFormat="1">
      <c r="A187" s="455"/>
      <c r="F187" s="287"/>
      <c r="G187" s="287"/>
      <c r="H187" s="287"/>
      <c r="I187" s="287"/>
      <c r="J187" s="287"/>
      <c r="K187" s="287"/>
      <c r="L187" s="287"/>
    </row>
    <row r="188" spans="1:12" s="286" customFormat="1">
      <c r="A188" s="455"/>
      <c r="F188" s="287"/>
      <c r="G188" s="287"/>
      <c r="H188" s="287"/>
      <c r="I188" s="287"/>
      <c r="J188" s="287"/>
      <c r="K188" s="287"/>
      <c r="L188" s="287"/>
    </row>
    <row r="189" spans="1:12" s="286" customFormat="1">
      <c r="A189" s="455"/>
      <c r="F189" s="287"/>
      <c r="G189" s="287"/>
      <c r="H189" s="287"/>
      <c r="I189" s="287"/>
      <c r="J189" s="287"/>
      <c r="K189" s="287"/>
      <c r="L189" s="287"/>
    </row>
    <row r="190" spans="1:12" s="286" customFormat="1">
      <c r="A190" s="455"/>
      <c r="F190" s="287"/>
      <c r="G190" s="287"/>
      <c r="H190" s="287"/>
      <c r="I190" s="287"/>
      <c r="J190" s="287"/>
      <c r="K190" s="287"/>
      <c r="L190" s="287"/>
    </row>
    <row r="191" spans="1:12" s="286" customFormat="1">
      <c r="A191" s="455"/>
      <c r="F191" s="287"/>
      <c r="G191" s="287"/>
      <c r="H191" s="287"/>
      <c r="I191" s="287"/>
      <c r="J191" s="287"/>
      <c r="K191" s="287"/>
      <c r="L191" s="287"/>
    </row>
    <row r="192" spans="1:12" s="286" customFormat="1">
      <c r="A192" s="455"/>
      <c r="F192" s="287"/>
      <c r="G192" s="287"/>
      <c r="H192" s="287"/>
      <c r="I192" s="287"/>
      <c r="J192" s="287"/>
      <c r="K192" s="287"/>
      <c r="L192" s="287"/>
    </row>
    <row r="193" spans="1:12" s="286" customFormat="1">
      <c r="A193" s="455"/>
      <c r="F193" s="287"/>
      <c r="G193" s="287"/>
      <c r="H193" s="287"/>
      <c r="I193" s="287"/>
      <c r="J193" s="287"/>
      <c r="K193" s="287"/>
      <c r="L193" s="287"/>
    </row>
    <row r="194" spans="1:12" s="286" customFormat="1">
      <c r="A194" s="455"/>
      <c r="F194" s="287"/>
      <c r="G194" s="287"/>
      <c r="H194" s="287"/>
      <c r="I194" s="287"/>
      <c r="J194" s="287"/>
      <c r="K194" s="287"/>
      <c r="L194" s="287"/>
    </row>
    <row r="195" spans="1:12" s="286" customFormat="1">
      <c r="A195" s="455"/>
      <c r="F195" s="287"/>
      <c r="G195" s="287"/>
      <c r="H195" s="287"/>
      <c r="I195" s="287"/>
      <c r="J195" s="287"/>
      <c r="K195" s="287"/>
      <c r="L195" s="287"/>
    </row>
    <row r="196" spans="1:12" s="286" customFormat="1">
      <c r="A196" s="455"/>
      <c r="F196" s="287"/>
      <c r="G196" s="287"/>
      <c r="H196" s="287"/>
      <c r="I196" s="287"/>
      <c r="J196" s="287"/>
      <c r="K196" s="287"/>
      <c r="L196" s="287"/>
    </row>
    <row r="197" spans="1:12" s="286" customFormat="1">
      <c r="A197" s="455"/>
      <c r="F197" s="287"/>
      <c r="G197" s="287"/>
      <c r="H197" s="287"/>
      <c r="I197" s="287"/>
      <c r="J197" s="287"/>
      <c r="K197" s="287"/>
      <c r="L197" s="287"/>
    </row>
  </sheetData>
  <sheetProtection algorithmName="SHA-512" hashValue="Eza7Zakjb9zqpjagUnKVw8ka8DyIhqkk3mj4tHhPPY5M/vosFKHMvm49F/hrYmwPg3LTpU+B9xY0O/Ee+g/Ubg==" saltValue="tmLDLjM3YDWAkbEQaGKf5g==" spinCount="100000" sheet="1" objects="1" scenarios="1" selectLockedCells="1" selectUnlockedCells="1"/>
  <mergeCells count="14">
    <mergeCell ref="C47:F47"/>
    <mergeCell ref="H47:J47"/>
    <mergeCell ref="A7:J7"/>
    <mergeCell ref="A18:J18"/>
    <mergeCell ref="C46:F46"/>
    <mergeCell ref="H46:J46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3" fitToHeight="2" orientation="landscape" r:id="rId1"/>
  <headerFooter alignWithMargins="0"/>
  <ignoredErrors>
    <ignoredError sqref="F9 F19 F36 F4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02"/>
  <sheetViews>
    <sheetView view="pageBreakPreview" topLeftCell="A58" zoomScale="71" zoomScaleNormal="75" zoomScaleSheetLayoutView="71" workbookViewId="0">
      <selection activeCell="T6" sqref="T6"/>
    </sheetView>
  </sheetViews>
  <sheetFormatPr defaultColWidth="9.109375" defaultRowHeight="21"/>
  <cols>
    <col min="1" max="1" width="90.88671875" style="29" customWidth="1"/>
    <col min="2" max="2" width="15" style="29" customWidth="1"/>
    <col min="3" max="3" width="17.109375" style="29" customWidth="1"/>
    <col min="4" max="5" width="17.5546875" style="29" customWidth="1"/>
    <col min="6" max="6" width="16.6640625" style="29" customWidth="1"/>
    <col min="7" max="10" width="16" style="29" customWidth="1"/>
    <col min="11" max="12" width="9.109375" style="29"/>
    <col min="13" max="13" width="12.88671875" style="29" bestFit="1" customWidth="1"/>
    <col min="14" max="16384" width="9.109375" style="29"/>
  </cols>
  <sheetData>
    <row r="1" spans="1:19" ht="23.25" customHeight="1">
      <c r="J1" s="255" t="s">
        <v>352</v>
      </c>
    </row>
    <row r="2" spans="1:19" ht="29.25" customHeight="1">
      <c r="A2" s="497" t="s">
        <v>278</v>
      </c>
      <c r="B2" s="497"/>
      <c r="C2" s="497"/>
      <c r="D2" s="497"/>
      <c r="E2" s="497"/>
      <c r="F2" s="497"/>
      <c r="G2" s="497"/>
      <c r="H2" s="497"/>
      <c r="I2" s="497"/>
      <c r="J2" s="497"/>
    </row>
    <row r="3" spans="1:19" ht="17.25" customHeight="1">
      <c r="A3" s="252"/>
      <c r="B3" s="252"/>
      <c r="C3" s="252"/>
      <c r="D3" s="252"/>
      <c r="E3" s="252"/>
      <c r="F3" s="252"/>
      <c r="G3" s="252"/>
      <c r="H3" s="252"/>
      <c r="I3" s="252"/>
      <c r="J3" s="366" t="s">
        <v>360</v>
      </c>
    </row>
    <row r="4" spans="1:19" ht="48" customHeight="1">
      <c r="A4" s="534" t="s">
        <v>164</v>
      </c>
      <c r="B4" s="526" t="s">
        <v>0</v>
      </c>
      <c r="C4" s="487" t="s">
        <v>631</v>
      </c>
      <c r="D4" s="487" t="s">
        <v>632</v>
      </c>
      <c r="E4" s="485" t="s">
        <v>633</v>
      </c>
      <c r="F4" s="492" t="s">
        <v>634</v>
      </c>
      <c r="G4" s="492" t="s">
        <v>329</v>
      </c>
      <c r="H4" s="492"/>
      <c r="I4" s="492"/>
      <c r="J4" s="492"/>
    </row>
    <row r="5" spans="1:19" ht="72" customHeight="1">
      <c r="A5" s="535"/>
      <c r="B5" s="526"/>
      <c r="C5" s="488"/>
      <c r="D5" s="488"/>
      <c r="E5" s="486"/>
      <c r="F5" s="492"/>
      <c r="G5" s="256" t="s">
        <v>126</v>
      </c>
      <c r="H5" s="256" t="s">
        <v>127</v>
      </c>
      <c r="I5" s="256" t="s">
        <v>128</v>
      </c>
      <c r="J5" s="256" t="s">
        <v>63</v>
      </c>
    </row>
    <row r="6" spans="1:19" ht="27" customHeight="1">
      <c r="A6" s="250">
        <v>1</v>
      </c>
      <c r="B6" s="256">
        <v>2</v>
      </c>
      <c r="C6" s="256">
        <v>3</v>
      </c>
      <c r="D6" s="256">
        <v>4</v>
      </c>
      <c r="E6" s="256">
        <v>5</v>
      </c>
      <c r="F6" s="256">
        <v>6</v>
      </c>
      <c r="G6" s="256">
        <v>7</v>
      </c>
      <c r="H6" s="256">
        <v>8</v>
      </c>
      <c r="I6" s="256">
        <v>9</v>
      </c>
      <c r="J6" s="256">
        <v>10</v>
      </c>
    </row>
    <row r="7" spans="1:19" s="262" customFormat="1" ht="36" customHeight="1">
      <c r="A7" s="257" t="s">
        <v>110</v>
      </c>
      <c r="B7" s="258"/>
      <c r="C7" s="259"/>
      <c r="D7" s="259"/>
      <c r="E7" s="259"/>
      <c r="F7" s="260"/>
      <c r="G7" s="259"/>
      <c r="H7" s="259"/>
      <c r="I7" s="259"/>
      <c r="J7" s="261"/>
    </row>
    <row r="8" spans="1:19" ht="34.5" customHeight="1">
      <c r="A8" s="263" t="s">
        <v>249</v>
      </c>
      <c r="B8" s="264">
        <v>3000</v>
      </c>
      <c r="C8" s="233">
        <f>SUM(C9:C10,C12:C17)</f>
        <v>117414</v>
      </c>
      <c r="D8" s="233">
        <f t="shared" ref="D8:E8" si="0">SUM(D9:D10,D12:D17)</f>
        <v>143703</v>
      </c>
      <c r="E8" s="233">
        <f t="shared" si="0"/>
        <v>143703</v>
      </c>
      <c r="F8" s="233">
        <f t="shared" ref="F8:F18" si="1">SUM(G8:J8)</f>
        <v>167416</v>
      </c>
      <c r="G8" s="233">
        <f t="shared" ref="G8:J8" si="2">SUM(G9:G10,G12:G17)</f>
        <v>41854</v>
      </c>
      <c r="H8" s="233">
        <f t="shared" si="2"/>
        <v>41854</v>
      </c>
      <c r="I8" s="233">
        <f t="shared" si="2"/>
        <v>41854</v>
      </c>
      <c r="J8" s="233">
        <f t="shared" si="2"/>
        <v>41854</v>
      </c>
      <c r="L8" s="267"/>
      <c r="M8" s="267"/>
      <c r="N8" s="267"/>
      <c r="O8" s="267"/>
      <c r="P8" s="267"/>
      <c r="Q8" s="267"/>
      <c r="R8" s="267"/>
      <c r="S8" s="267"/>
    </row>
    <row r="9" spans="1:19" ht="33" customHeight="1">
      <c r="A9" s="265" t="s">
        <v>308</v>
      </c>
      <c r="B9" s="266">
        <v>3010</v>
      </c>
      <c r="C9" s="232">
        <v>116981</v>
      </c>
      <c r="D9" s="232">
        <v>143703</v>
      </c>
      <c r="E9" s="232">
        <f t="shared" ref="E9:E33" si="3">D9</f>
        <v>143703</v>
      </c>
      <c r="F9" s="232">
        <f t="shared" si="1"/>
        <v>167416</v>
      </c>
      <c r="G9" s="232">
        <f>ROUND('I. Фін результат'!G8*1.2,0)</f>
        <v>41854</v>
      </c>
      <c r="H9" s="232">
        <f>ROUND('I. Фін результат'!H8*1.2,0)</f>
        <v>41854</v>
      </c>
      <c r="I9" s="232">
        <f>ROUND('I. Фін результат'!I8*1.2,0)</f>
        <v>41854</v>
      </c>
      <c r="J9" s="232">
        <f>ROUND('I. Фін результат'!J8*1.2,0)</f>
        <v>41854</v>
      </c>
      <c r="L9" s="267"/>
      <c r="M9" s="267"/>
      <c r="N9" s="267"/>
      <c r="O9" s="267"/>
      <c r="P9" s="267"/>
      <c r="Q9" s="267"/>
      <c r="R9" s="267"/>
      <c r="S9" s="267"/>
    </row>
    <row r="10" spans="1:19" ht="30" customHeight="1">
      <c r="A10" s="265" t="s">
        <v>250</v>
      </c>
      <c r="B10" s="266">
        <v>3020</v>
      </c>
      <c r="C10" s="232"/>
      <c r="D10" s="232"/>
      <c r="E10" s="233">
        <f t="shared" si="3"/>
        <v>0</v>
      </c>
      <c r="F10" s="232">
        <f t="shared" si="1"/>
        <v>0</v>
      </c>
      <c r="G10" s="232"/>
      <c r="H10" s="232"/>
      <c r="I10" s="232"/>
      <c r="J10" s="232"/>
      <c r="L10" s="267"/>
      <c r="M10" s="267"/>
      <c r="N10" s="267"/>
      <c r="O10" s="267"/>
      <c r="P10" s="267"/>
      <c r="Q10" s="267"/>
      <c r="R10" s="267"/>
      <c r="S10" s="267"/>
    </row>
    <row r="11" spans="1:19" ht="28.5" customHeight="1">
      <c r="A11" s="265" t="s">
        <v>251</v>
      </c>
      <c r="B11" s="266">
        <v>3021</v>
      </c>
      <c r="C11" s="232"/>
      <c r="D11" s="232"/>
      <c r="E11" s="233">
        <f t="shared" si="3"/>
        <v>0</v>
      </c>
      <c r="F11" s="232">
        <f t="shared" si="1"/>
        <v>0</v>
      </c>
      <c r="G11" s="232"/>
      <c r="H11" s="232"/>
      <c r="I11" s="232"/>
      <c r="J11" s="232"/>
      <c r="L11" s="267"/>
      <c r="M11" s="267"/>
      <c r="N11" s="267"/>
      <c r="O11" s="267"/>
      <c r="P11" s="267"/>
      <c r="Q11" s="267"/>
      <c r="R11" s="267"/>
      <c r="S11" s="267"/>
    </row>
    <row r="12" spans="1:19" ht="36.75" customHeight="1">
      <c r="A12" s="265" t="s">
        <v>658</v>
      </c>
      <c r="B12" s="266">
        <v>3030</v>
      </c>
      <c r="C12" s="232"/>
      <c r="D12" s="232" t="s">
        <v>514</v>
      </c>
      <c r="E12" s="232" t="str">
        <f t="shared" si="3"/>
        <v>-</v>
      </c>
      <c r="F12" s="232">
        <f t="shared" si="1"/>
        <v>0</v>
      </c>
      <c r="G12" s="232"/>
      <c r="H12" s="232"/>
      <c r="I12" s="232"/>
      <c r="J12" s="232"/>
      <c r="L12" s="267"/>
      <c r="M12" s="267"/>
      <c r="N12" s="267"/>
      <c r="O12" s="267"/>
      <c r="P12" s="267"/>
      <c r="Q12" s="267"/>
      <c r="R12" s="267"/>
      <c r="S12" s="267"/>
    </row>
    <row r="13" spans="1:19" ht="34.5" customHeight="1">
      <c r="A13" s="265" t="s">
        <v>376</v>
      </c>
      <c r="B13" s="266">
        <v>3040</v>
      </c>
      <c r="C13" s="232"/>
      <c r="D13" s="232" t="s">
        <v>514</v>
      </c>
      <c r="E13" s="233" t="str">
        <f t="shared" si="3"/>
        <v>-</v>
      </c>
      <c r="F13" s="232">
        <f t="shared" si="1"/>
        <v>0</v>
      </c>
      <c r="G13" s="232"/>
      <c r="H13" s="232"/>
      <c r="I13" s="232"/>
      <c r="J13" s="232"/>
      <c r="L13" s="267"/>
      <c r="M13" s="267"/>
      <c r="N13" s="267"/>
      <c r="O13" s="267"/>
      <c r="P13" s="267"/>
      <c r="Q13" s="267"/>
      <c r="R13" s="267"/>
      <c r="S13" s="267"/>
    </row>
    <row r="14" spans="1:19" ht="34.5" customHeight="1">
      <c r="A14" s="265" t="s">
        <v>252</v>
      </c>
      <c r="B14" s="266">
        <v>3050</v>
      </c>
      <c r="C14" s="232"/>
      <c r="D14" s="232"/>
      <c r="E14" s="233">
        <f t="shared" si="3"/>
        <v>0</v>
      </c>
      <c r="F14" s="232">
        <f t="shared" si="1"/>
        <v>0</v>
      </c>
      <c r="G14" s="232"/>
      <c r="H14" s="232"/>
      <c r="I14" s="232"/>
      <c r="J14" s="232"/>
      <c r="L14" s="267"/>
      <c r="M14" s="267"/>
      <c r="N14" s="267"/>
      <c r="O14" s="267"/>
      <c r="P14" s="267"/>
      <c r="Q14" s="267"/>
      <c r="R14" s="267"/>
      <c r="S14" s="267"/>
    </row>
    <row r="15" spans="1:19" ht="34.5" customHeight="1">
      <c r="A15" s="265" t="s">
        <v>377</v>
      </c>
      <c r="B15" s="266">
        <v>3060</v>
      </c>
      <c r="C15" s="232">
        <v>52</v>
      </c>
      <c r="D15" s="232"/>
      <c r="E15" s="233">
        <f t="shared" si="3"/>
        <v>0</v>
      </c>
      <c r="F15" s="232">
        <f t="shared" si="1"/>
        <v>0</v>
      </c>
      <c r="G15" s="232"/>
      <c r="H15" s="232"/>
      <c r="I15" s="232"/>
      <c r="J15" s="232"/>
      <c r="L15" s="267"/>
      <c r="M15" s="267"/>
      <c r="N15" s="267"/>
      <c r="O15" s="267"/>
      <c r="P15" s="267"/>
      <c r="Q15" s="267"/>
      <c r="R15" s="267"/>
      <c r="S15" s="267"/>
    </row>
    <row r="16" spans="1:19" ht="34.5" customHeight="1">
      <c r="A16" s="265" t="s">
        <v>378</v>
      </c>
      <c r="B16" s="266">
        <v>3070</v>
      </c>
      <c r="C16" s="232">
        <v>7</v>
      </c>
      <c r="D16" s="232"/>
      <c r="E16" s="233">
        <f t="shared" si="3"/>
        <v>0</v>
      </c>
      <c r="F16" s="232">
        <f t="shared" si="1"/>
        <v>0</v>
      </c>
      <c r="G16" s="232"/>
      <c r="H16" s="232"/>
      <c r="I16" s="232"/>
      <c r="J16" s="232"/>
      <c r="L16" s="267"/>
      <c r="M16" s="267"/>
      <c r="N16" s="267"/>
      <c r="O16" s="267"/>
      <c r="P16" s="267"/>
      <c r="Q16" s="267"/>
      <c r="R16" s="267"/>
      <c r="S16" s="267"/>
    </row>
    <row r="17" spans="1:19" ht="34.5" customHeight="1">
      <c r="A17" s="265" t="s">
        <v>373</v>
      </c>
      <c r="B17" s="266">
        <v>3080</v>
      </c>
      <c r="C17" s="232">
        <f>'Розшифровка до Руху'!C10</f>
        <v>374</v>
      </c>
      <c r="D17" s="232">
        <f>'Розшифровка до Руху'!D10</f>
        <v>0</v>
      </c>
      <c r="E17" s="232">
        <f>'Розшифровка до Руху'!E10</f>
        <v>0</v>
      </c>
      <c r="F17" s="232">
        <f t="shared" si="1"/>
        <v>0</v>
      </c>
      <c r="G17" s="232">
        <f>'Розшифровка до Руху'!G10</f>
        <v>0</v>
      </c>
      <c r="H17" s="232">
        <f>'Розшифровка до Руху'!H10</f>
        <v>0</v>
      </c>
      <c r="I17" s="232">
        <f>'Розшифровка до Руху'!I10</f>
        <v>0</v>
      </c>
      <c r="J17" s="232">
        <f>'Розшифровка до Руху'!J10</f>
        <v>0</v>
      </c>
      <c r="L17" s="267"/>
      <c r="M17" s="267"/>
      <c r="N17" s="267"/>
      <c r="O17" s="267"/>
      <c r="P17" s="267"/>
      <c r="Q17" s="267"/>
      <c r="R17" s="267"/>
      <c r="S17" s="267"/>
    </row>
    <row r="18" spans="1:19" ht="34.5" customHeight="1">
      <c r="A18" s="263" t="s">
        <v>253</v>
      </c>
      <c r="B18" s="264">
        <v>3100</v>
      </c>
      <c r="C18" s="233">
        <f>SUM(C19:C20,C21,C32,C33)</f>
        <v>-107036</v>
      </c>
      <c r="D18" s="233">
        <f t="shared" ref="D18:E18" si="4">SUM(D19:D20,D21,D32,D33)</f>
        <v>-137831</v>
      </c>
      <c r="E18" s="233">
        <f t="shared" si="4"/>
        <v>-139301</v>
      </c>
      <c r="F18" s="233">
        <f t="shared" si="1"/>
        <v>-162238</v>
      </c>
      <c r="G18" s="233">
        <f>SUM(G19:G20,G21,G32,G33)</f>
        <v>-39790</v>
      </c>
      <c r="H18" s="233">
        <f>SUM(H19:H20,H21,H32,H33)</f>
        <v>-40825</v>
      </c>
      <c r="I18" s="233">
        <f>SUM(I19:I20,I21,I32,I33)</f>
        <v>-40830</v>
      </c>
      <c r="J18" s="233">
        <f>SUM(J19:J20,J21,J32,J33)</f>
        <v>-40793</v>
      </c>
      <c r="L18" s="267"/>
      <c r="M18" s="267"/>
      <c r="N18" s="267"/>
      <c r="O18" s="267"/>
      <c r="P18" s="267"/>
      <c r="Q18" s="267"/>
      <c r="R18" s="267"/>
      <c r="S18" s="267"/>
    </row>
    <row r="19" spans="1:19" ht="33" customHeight="1">
      <c r="A19" s="265" t="s">
        <v>254</v>
      </c>
      <c r="B19" s="266">
        <v>3110</v>
      </c>
      <c r="C19" s="232">
        <v>-47233</v>
      </c>
      <c r="D19" s="232">
        <v>-62866</v>
      </c>
      <c r="E19" s="232">
        <v>-72882</v>
      </c>
      <c r="F19" s="232">
        <f>SUM(G19:J19)</f>
        <v>-92100</v>
      </c>
      <c r="G19" s="232">
        <v>-21970</v>
      </c>
      <c r="H19" s="232">
        <v>-23370</v>
      </c>
      <c r="I19" s="232">
        <v>-23370</v>
      </c>
      <c r="J19" s="232">
        <v>-23390</v>
      </c>
      <c r="L19" s="267"/>
      <c r="M19" s="267"/>
      <c r="N19" s="267"/>
      <c r="O19" s="267"/>
      <c r="P19" s="267"/>
      <c r="Q19" s="267"/>
      <c r="R19" s="267"/>
      <c r="S19" s="267"/>
    </row>
    <row r="20" spans="1:19" ht="34.5" customHeight="1">
      <c r="A20" s="265" t="s">
        <v>255</v>
      </c>
      <c r="B20" s="266">
        <v>3120</v>
      </c>
      <c r="C20" s="232">
        <f>-28542</f>
        <v>-28542</v>
      </c>
      <c r="D20" s="232">
        <v>-36896</v>
      </c>
      <c r="E20" s="232">
        <f>-('I. Фін результат'!E91+E24+E29)</f>
        <v>-31259</v>
      </c>
      <c r="F20" s="232">
        <f>SUM(G20:J20)</f>
        <v>-32276</v>
      </c>
      <c r="G20" s="232">
        <f>-('I. Фін результат'!G91+G24+G29)</f>
        <v>-8069</v>
      </c>
      <c r="H20" s="232">
        <f>-('I. Фін результат'!H91+H24+H29)</f>
        <v>-8069</v>
      </c>
      <c r="I20" s="232">
        <f>-('I. Фін результат'!I91+I24+I29)</f>
        <v>-8069</v>
      </c>
      <c r="J20" s="232">
        <f>-('I. Фін результат'!J91+J24+J29)</f>
        <v>-8069</v>
      </c>
      <c r="L20" s="267"/>
      <c r="M20" s="267"/>
      <c r="N20" s="267"/>
      <c r="O20" s="267"/>
      <c r="P20" s="267"/>
      <c r="Q20" s="267"/>
      <c r="R20" s="267"/>
      <c r="S20" s="267"/>
    </row>
    <row r="21" spans="1:19" ht="48" customHeight="1">
      <c r="A21" s="265" t="s">
        <v>256</v>
      </c>
      <c r="B21" s="266">
        <v>3130</v>
      </c>
      <c r="C21" s="232">
        <f>SUM(C22:C31)</f>
        <v>-31152</v>
      </c>
      <c r="D21" s="232">
        <f t="shared" ref="D21:E21" si="5">SUM(D22:D31)</f>
        <v>-38069</v>
      </c>
      <c r="E21" s="232">
        <f t="shared" si="5"/>
        <v>-35160</v>
      </c>
      <c r="F21" s="232">
        <f t="shared" ref="F21:F36" si="6">SUM(G21:J21)</f>
        <v>-37862</v>
      </c>
      <c r="G21" s="232">
        <f>SUM(G22:G31)</f>
        <v>-9751</v>
      </c>
      <c r="H21" s="232">
        <f t="shared" ref="H21:J21" si="7">SUM(H22:H31)</f>
        <v>-9386</v>
      </c>
      <c r="I21" s="232">
        <f t="shared" si="7"/>
        <v>-9391</v>
      </c>
      <c r="J21" s="232">
        <f t="shared" si="7"/>
        <v>-9334</v>
      </c>
      <c r="L21" s="267"/>
      <c r="M21" s="267"/>
      <c r="N21" s="267"/>
      <c r="O21" s="267"/>
      <c r="P21" s="267"/>
      <c r="Q21" s="267"/>
      <c r="R21" s="267"/>
      <c r="S21" s="267"/>
    </row>
    <row r="22" spans="1:19" ht="39.75" customHeight="1">
      <c r="A22" s="265" t="s">
        <v>257</v>
      </c>
      <c r="B22" s="266">
        <v>3131</v>
      </c>
      <c r="C22" s="232">
        <v>-49</v>
      </c>
      <c r="D22" s="232">
        <v>-2037</v>
      </c>
      <c r="E22" s="232">
        <f t="shared" si="3"/>
        <v>-2037</v>
      </c>
      <c r="F22" s="232">
        <f t="shared" si="6"/>
        <v>-1454</v>
      </c>
      <c r="G22" s="232">
        <v>-727</v>
      </c>
      <c r="H22" s="232">
        <f>-'ІІ. Розр. з бюджетом'!G28</f>
        <v>-258</v>
      </c>
      <c r="I22" s="232">
        <f>-'ІІ. Розр. з бюджетом'!H28</f>
        <v>-263</v>
      </c>
      <c r="J22" s="232">
        <f>-'ІІ. Розр. з бюджетом'!I28</f>
        <v>-206</v>
      </c>
      <c r="L22" s="267"/>
      <c r="M22" s="267"/>
      <c r="N22" s="267"/>
      <c r="O22" s="267"/>
      <c r="P22" s="267"/>
      <c r="Q22" s="267"/>
      <c r="R22" s="267"/>
      <c r="S22" s="267"/>
    </row>
    <row r="23" spans="1:19" ht="39.75" customHeight="1">
      <c r="A23" s="265" t="s">
        <v>258</v>
      </c>
      <c r="B23" s="266">
        <v>3132</v>
      </c>
      <c r="C23" s="232">
        <v>-11912</v>
      </c>
      <c r="D23" s="232">
        <v>-12040</v>
      </c>
      <c r="E23" s="232">
        <f t="shared" si="3"/>
        <v>-12040</v>
      </c>
      <c r="F23" s="232">
        <f t="shared" si="6"/>
        <v>-14400</v>
      </c>
      <c r="G23" s="232">
        <f>-'ІІ. Розр. з бюджетом'!G20</f>
        <v>-3600</v>
      </c>
      <c r="H23" s="232">
        <f>-'ІІ. Розр. з бюджетом'!H20</f>
        <v>-3600</v>
      </c>
      <c r="I23" s="232">
        <f>-'ІІ. Розр. з бюджетом'!I20</f>
        <v>-3600</v>
      </c>
      <c r="J23" s="232">
        <f>-'ІІ. Розр. з бюджетом'!J20</f>
        <v>-3600</v>
      </c>
      <c r="L23" s="267"/>
      <c r="M23" s="267"/>
      <c r="N23" s="267"/>
      <c r="O23" s="267"/>
      <c r="P23" s="267"/>
      <c r="Q23" s="267"/>
      <c r="R23" s="267"/>
      <c r="S23" s="267"/>
    </row>
    <row r="24" spans="1:19" ht="39.75" customHeight="1">
      <c r="A24" s="265" t="s">
        <v>74</v>
      </c>
      <c r="B24" s="266">
        <v>3133</v>
      </c>
      <c r="C24" s="232">
        <v>-6768</v>
      </c>
      <c r="D24" s="232">
        <v>-8252</v>
      </c>
      <c r="E24" s="232">
        <f>-'ІІ. Розр. з бюджетом'!E29</f>
        <v>-6990</v>
      </c>
      <c r="F24" s="232">
        <f t="shared" si="6"/>
        <v>-7216</v>
      </c>
      <c r="G24" s="232">
        <f>-'ІІ. Розр. з бюджетом'!G29</f>
        <v>-1804</v>
      </c>
      <c r="H24" s="232">
        <f>-'ІІ. Розр. з бюджетом'!H29</f>
        <v>-1804</v>
      </c>
      <c r="I24" s="232">
        <f>-'ІІ. Розр. з бюджетом'!I29</f>
        <v>-1804</v>
      </c>
      <c r="J24" s="232">
        <f>-'ІІ. Розр. з бюджетом'!J29</f>
        <v>-1804</v>
      </c>
      <c r="L24" s="267"/>
      <c r="M24" s="267"/>
      <c r="N24" s="267"/>
      <c r="O24" s="267"/>
      <c r="P24" s="267"/>
      <c r="Q24" s="267"/>
      <c r="R24" s="267"/>
      <c r="S24" s="267"/>
    </row>
    <row r="25" spans="1:19" ht="39.75" customHeight="1">
      <c r="A25" s="265" t="s">
        <v>374</v>
      </c>
      <c r="B25" s="266">
        <v>3134</v>
      </c>
      <c r="C25" s="232" t="s">
        <v>197</v>
      </c>
      <c r="D25" s="232" t="s">
        <v>197</v>
      </c>
      <c r="E25" s="232" t="str">
        <f t="shared" si="3"/>
        <v>(    )</v>
      </c>
      <c r="F25" s="232">
        <f t="shared" si="6"/>
        <v>0</v>
      </c>
      <c r="G25" s="232" t="s">
        <v>197</v>
      </c>
      <c r="H25" s="232" t="s">
        <v>197</v>
      </c>
      <c r="I25" s="232" t="s">
        <v>197</v>
      </c>
      <c r="J25" s="232" t="s">
        <v>197</v>
      </c>
      <c r="L25" s="267"/>
      <c r="M25" s="267"/>
      <c r="N25" s="267"/>
      <c r="O25" s="267"/>
      <c r="P25" s="267"/>
      <c r="Q25" s="267"/>
      <c r="R25" s="267"/>
      <c r="S25" s="267"/>
    </row>
    <row r="26" spans="1:19" ht="39.75" customHeight="1">
      <c r="A26" s="265" t="s">
        <v>287</v>
      </c>
      <c r="B26" s="266">
        <v>3135</v>
      </c>
      <c r="C26" s="232">
        <v>-151</v>
      </c>
      <c r="D26" s="232">
        <v>-152</v>
      </c>
      <c r="E26" s="232">
        <f t="shared" si="3"/>
        <v>-152</v>
      </c>
      <c r="F26" s="232">
        <f t="shared" si="6"/>
        <v>-164</v>
      </c>
      <c r="G26" s="232">
        <f>-'ІІ. Розр. з бюджетом'!G31</f>
        <v>-41</v>
      </c>
      <c r="H26" s="232">
        <f>-'ІІ. Розр. з бюджетом'!H31</f>
        <v>-41</v>
      </c>
      <c r="I26" s="232">
        <f>-'ІІ. Розр. з бюджетом'!I31</f>
        <v>-41</v>
      </c>
      <c r="J26" s="232">
        <f>-'ІІ. Розр. з бюджетом'!J31</f>
        <v>-41</v>
      </c>
      <c r="L26" s="267"/>
      <c r="M26" s="267"/>
      <c r="N26" s="267"/>
      <c r="O26" s="267"/>
      <c r="P26" s="267"/>
      <c r="Q26" s="267"/>
      <c r="R26" s="267"/>
      <c r="S26" s="267"/>
    </row>
    <row r="27" spans="1:19" ht="39.75" customHeight="1">
      <c r="A27" s="265" t="s">
        <v>288</v>
      </c>
      <c r="B27" s="266">
        <v>3136</v>
      </c>
      <c r="C27" s="232" t="s">
        <v>197</v>
      </c>
      <c r="D27" s="232" t="s">
        <v>197</v>
      </c>
      <c r="E27" s="232" t="str">
        <f t="shared" si="3"/>
        <v>(    )</v>
      </c>
      <c r="F27" s="232">
        <f t="shared" si="6"/>
        <v>0</v>
      </c>
      <c r="G27" s="232" t="s">
        <v>197</v>
      </c>
      <c r="H27" s="232" t="s">
        <v>197</v>
      </c>
      <c r="I27" s="232" t="s">
        <v>197</v>
      </c>
      <c r="J27" s="232" t="s">
        <v>197</v>
      </c>
      <c r="L27" s="267"/>
      <c r="M27" s="267"/>
      <c r="N27" s="267"/>
      <c r="O27" s="267"/>
      <c r="P27" s="267"/>
      <c r="Q27" s="267"/>
      <c r="R27" s="267"/>
      <c r="S27" s="267"/>
    </row>
    <row r="28" spans="1:19" ht="39.75" customHeight="1">
      <c r="A28" s="265" t="s">
        <v>294</v>
      </c>
      <c r="B28" s="266">
        <v>3137</v>
      </c>
      <c r="C28" s="232" t="s">
        <v>197</v>
      </c>
      <c r="D28" s="232" t="s">
        <v>197</v>
      </c>
      <c r="E28" s="232" t="str">
        <f t="shared" si="3"/>
        <v>(    )</v>
      </c>
      <c r="F28" s="232">
        <f t="shared" si="6"/>
        <v>0</v>
      </c>
      <c r="G28" s="232" t="s">
        <v>197</v>
      </c>
      <c r="H28" s="232" t="s">
        <v>197</v>
      </c>
      <c r="I28" s="232" t="s">
        <v>197</v>
      </c>
      <c r="J28" s="232" t="s">
        <v>197</v>
      </c>
      <c r="L28" s="267"/>
      <c r="M28" s="267"/>
      <c r="N28" s="267"/>
      <c r="O28" s="267"/>
      <c r="P28" s="267"/>
      <c r="Q28" s="267"/>
      <c r="R28" s="267"/>
      <c r="S28" s="267"/>
    </row>
    <row r="29" spans="1:19" ht="39.75" customHeight="1">
      <c r="A29" s="265" t="s">
        <v>368</v>
      </c>
      <c r="B29" s="266">
        <v>3138</v>
      </c>
      <c r="C29" s="232">
        <v>-83</v>
      </c>
      <c r="D29" s="232">
        <v>-688</v>
      </c>
      <c r="E29" s="232">
        <f>-'ІІ. Розр. з бюджетом'!E25</f>
        <v>-582</v>
      </c>
      <c r="F29" s="232">
        <f t="shared" si="6"/>
        <v>-600</v>
      </c>
      <c r="G29" s="232">
        <f>-'ІІ. Розр. з бюджетом'!G25</f>
        <v>-150</v>
      </c>
      <c r="H29" s="232">
        <f>-'ІІ. Розр. з бюджетом'!H25</f>
        <v>-150</v>
      </c>
      <c r="I29" s="232">
        <f>-'ІІ. Розр. з бюджетом'!I25</f>
        <v>-150</v>
      </c>
      <c r="J29" s="232">
        <f>-'ІІ. Розр. з бюджетом'!J25</f>
        <v>-150</v>
      </c>
      <c r="L29" s="267"/>
      <c r="M29" s="267"/>
      <c r="N29" s="267"/>
      <c r="O29" s="267"/>
      <c r="P29" s="267"/>
      <c r="Q29" s="267"/>
      <c r="R29" s="267"/>
      <c r="S29" s="267"/>
    </row>
    <row r="30" spans="1:19" ht="39.75" customHeight="1">
      <c r="A30" s="265" t="s">
        <v>375</v>
      </c>
      <c r="B30" s="266">
        <v>3139</v>
      </c>
      <c r="C30" s="232">
        <v>-7392</v>
      </c>
      <c r="D30" s="232">
        <v>-10084</v>
      </c>
      <c r="E30" s="232">
        <f>-'ІІ. Розр. з бюджетом'!E38</f>
        <v>-8543</v>
      </c>
      <c r="F30" s="232">
        <f t="shared" si="6"/>
        <v>-8820</v>
      </c>
      <c r="G30" s="232">
        <f>-'ІІ. Розр. з бюджетом'!G38</f>
        <v>-2205</v>
      </c>
      <c r="H30" s="232">
        <f>-'ІІ. Розр. з бюджетом'!H38</f>
        <v>-2205</v>
      </c>
      <c r="I30" s="232">
        <f>-'ІІ. Розр. з бюджетом'!I38</f>
        <v>-2205</v>
      </c>
      <c r="J30" s="232">
        <f>-'ІІ. Розр. з бюджетом'!J38</f>
        <v>-2205</v>
      </c>
      <c r="L30" s="267"/>
      <c r="M30" s="267"/>
      <c r="N30" s="267"/>
      <c r="O30" s="267"/>
      <c r="P30" s="267"/>
      <c r="Q30" s="267"/>
      <c r="R30" s="267"/>
      <c r="S30" s="267"/>
    </row>
    <row r="31" spans="1:19" ht="39.75" customHeight="1">
      <c r="A31" s="265" t="s">
        <v>432</v>
      </c>
      <c r="B31" s="266">
        <v>3140</v>
      </c>
      <c r="C31" s="232">
        <v>-4797</v>
      </c>
      <c r="D31" s="232">
        <v>-4816</v>
      </c>
      <c r="E31" s="232">
        <f t="shared" si="3"/>
        <v>-4816</v>
      </c>
      <c r="F31" s="232">
        <f t="shared" si="6"/>
        <v>-5208</v>
      </c>
      <c r="G31" s="232">
        <v>-1224</v>
      </c>
      <c r="H31" s="232">
        <f>-'ІІ. Розр. з бюджетом'!G39</f>
        <v>-1328</v>
      </c>
      <c r="I31" s="232">
        <f>-'ІІ. Розр. з бюджетом'!H39</f>
        <v>-1328</v>
      </c>
      <c r="J31" s="232">
        <f>-'ІІ. Розр. з бюджетом'!I39</f>
        <v>-1328</v>
      </c>
      <c r="L31" s="267"/>
      <c r="M31" s="267"/>
      <c r="N31" s="267"/>
      <c r="O31" s="267"/>
      <c r="P31" s="267"/>
      <c r="Q31" s="267"/>
      <c r="R31" s="267"/>
      <c r="S31" s="267"/>
    </row>
    <row r="32" spans="1:19" ht="39.75" customHeight="1">
      <c r="A32" s="265" t="s">
        <v>259</v>
      </c>
      <c r="B32" s="266">
        <v>3150</v>
      </c>
      <c r="C32" s="232" t="s">
        <v>197</v>
      </c>
      <c r="D32" s="232" t="s">
        <v>197</v>
      </c>
      <c r="E32" s="233" t="str">
        <f t="shared" si="3"/>
        <v>(    )</v>
      </c>
      <c r="F32" s="232">
        <f t="shared" si="6"/>
        <v>0</v>
      </c>
      <c r="G32" s="232" t="s">
        <v>197</v>
      </c>
      <c r="H32" s="232" t="s">
        <v>197</v>
      </c>
      <c r="I32" s="232" t="s">
        <v>197</v>
      </c>
      <c r="J32" s="232" t="s">
        <v>197</v>
      </c>
      <c r="L32" s="267"/>
      <c r="M32" s="267"/>
      <c r="N32" s="267"/>
      <c r="O32" s="267"/>
      <c r="P32" s="267"/>
      <c r="Q32" s="267"/>
      <c r="R32" s="267"/>
      <c r="S32" s="267"/>
    </row>
    <row r="33" spans="1:19" ht="39.75" customHeight="1">
      <c r="A33" s="265" t="s">
        <v>495</v>
      </c>
      <c r="B33" s="266">
        <v>3160</v>
      </c>
      <c r="C33" s="232">
        <v>-109</v>
      </c>
      <c r="D33" s="232" t="s">
        <v>197</v>
      </c>
      <c r="E33" s="233" t="str">
        <f t="shared" si="3"/>
        <v>(    )</v>
      </c>
      <c r="F33" s="232">
        <f t="shared" si="6"/>
        <v>0</v>
      </c>
      <c r="G33" s="232" t="s">
        <v>197</v>
      </c>
      <c r="H33" s="232" t="s">
        <v>197</v>
      </c>
      <c r="I33" s="232" t="s">
        <v>197</v>
      </c>
      <c r="J33" s="232" t="s">
        <v>197</v>
      </c>
      <c r="L33" s="267"/>
      <c r="M33" s="267"/>
      <c r="N33" s="267"/>
      <c r="O33" s="267"/>
      <c r="P33" s="267"/>
      <c r="Q33" s="267"/>
      <c r="R33" s="267"/>
      <c r="S33" s="267"/>
    </row>
    <row r="34" spans="1:19" ht="34.5" customHeight="1">
      <c r="A34" s="263" t="s">
        <v>211</v>
      </c>
      <c r="B34" s="264">
        <v>3195</v>
      </c>
      <c r="C34" s="233">
        <f>SUM(C8,C18)</f>
        <v>10378</v>
      </c>
      <c r="D34" s="233">
        <f t="shared" ref="D34:E34" si="8">SUM(D8,D18)</f>
        <v>5872</v>
      </c>
      <c r="E34" s="233">
        <f t="shared" si="8"/>
        <v>4402</v>
      </c>
      <c r="F34" s="233">
        <f t="shared" si="6"/>
        <v>5178</v>
      </c>
      <c r="G34" s="233">
        <f>SUM(G8,G18)</f>
        <v>2064</v>
      </c>
      <c r="H34" s="233">
        <f>SUM(H8,H18)</f>
        <v>1029</v>
      </c>
      <c r="I34" s="233">
        <f>SUM(I8,I18)</f>
        <v>1024</v>
      </c>
      <c r="J34" s="233">
        <f>SUM(J8,J18)</f>
        <v>1061</v>
      </c>
      <c r="L34" s="267"/>
      <c r="M34" s="267"/>
      <c r="N34" s="267"/>
      <c r="O34" s="267"/>
      <c r="P34" s="267"/>
      <c r="Q34" s="267"/>
      <c r="R34" s="267"/>
      <c r="S34" s="267"/>
    </row>
    <row r="35" spans="1:19" ht="42" customHeight="1">
      <c r="A35" s="257" t="s">
        <v>111</v>
      </c>
      <c r="B35" s="258"/>
      <c r="C35" s="268"/>
      <c r="D35" s="268"/>
      <c r="E35" s="268"/>
      <c r="F35" s="268"/>
      <c r="G35" s="268"/>
      <c r="H35" s="268"/>
      <c r="I35" s="268"/>
      <c r="J35" s="269"/>
      <c r="L35" s="267"/>
      <c r="M35" s="267"/>
      <c r="N35" s="267"/>
      <c r="O35" s="267"/>
      <c r="P35" s="267"/>
      <c r="Q35" s="267"/>
      <c r="R35" s="267"/>
      <c r="S35" s="267"/>
    </row>
    <row r="36" spans="1:19" ht="34.5" customHeight="1">
      <c r="A36" s="263" t="s">
        <v>260</v>
      </c>
      <c r="B36" s="264">
        <v>3200</v>
      </c>
      <c r="C36" s="233">
        <f>SUM(C37:C40)</f>
        <v>0</v>
      </c>
      <c r="D36" s="233">
        <f>SUM(D37:D40)</f>
        <v>0</v>
      </c>
      <c r="E36" s="233">
        <f>D36</f>
        <v>0</v>
      </c>
      <c r="F36" s="233">
        <f t="shared" si="6"/>
        <v>0</v>
      </c>
      <c r="G36" s="233">
        <f>SUM(G37:G40)</f>
        <v>0</v>
      </c>
      <c r="H36" s="233">
        <f>SUM(H37:H40)</f>
        <v>0</v>
      </c>
      <c r="I36" s="233">
        <f>SUM(I37:I40)</f>
        <v>0</v>
      </c>
      <c r="J36" s="233">
        <f>SUM(J37:J40)</f>
        <v>0</v>
      </c>
      <c r="L36" s="267"/>
      <c r="M36" s="267"/>
      <c r="N36" s="267"/>
      <c r="O36" s="267"/>
      <c r="P36" s="267"/>
      <c r="Q36" s="267"/>
      <c r="R36" s="267"/>
      <c r="S36" s="267"/>
    </row>
    <row r="37" spans="1:19" ht="39" customHeight="1">
      <c r="A37" s="265" t="s">
        <v>261</v>
      </c>
      <c r="B37" s="266">
        <v>3210</v>
      </c>
      <c r="C37" s="232"/>
      <c r="D37" s="232"/>
      <c r="E37" s="233">
        <f t="shared" ref="E37:E63" si="9">D37</f>
        <v>0</v>
      </c>
      <c r="F37" s="232">
        <f>SUM(G37:J37)</f>
        <v>0</v>
      </c>
      <c r="G37" s="232"/>
      <c r="H37" s="232"/>
      <c r="I37" s="232"/>
      <c r="J37" s="232"/>
      <c r="L37" s="267"/>
      <c r="M37" s="267"/>
      <c r="N37" s="267"/>
      <c r="O37" s="267"/>
      <c r="P37" s="267"/>
      <c r="Q37" s="267"/>
      <c r="R37" s="267"/>
      <c r="S37" s="267"/>
    </row>
    <row r="38" spans="1:19" ht="39" customHeight="1">
      <c r="A38" s="265" t="s">
        <v>262</v>
      </c>
      <c r="B38" s="266">
        <v>3220</v>
      </c>
      <c r="C38" s="232"/>
      <c r="D38" s="232"/>
      <c r="E38" s="233">
        <f t="shared" si="9"/>
        <v>0</v>
      </c>
      <c r="F38" s="232">
        <f>SUM(G38:J38)</f>
        <v>0</v>
      </c>
      <c r="G38" s="232"/>
      <c r="H38" s="232"/>
      <c r="I38" s="232"/>
      <c r="J38" s="232"/>
      <c r="L38" s="267"/>
      <c r="M38" s="267"/>
      <c r="N38" s="267"/>
      <c r="O38" s="267"/>
      <c r="P38" s="267"/>
      <c r="Q38" s="267"/>
      <c r="R38" s="267"/>
      <c r="S38" s="267"/>
    </row>
    <row r="39" spans="1:19" ht="39" customHeight="1">
      <c r="A39" s="265" t="s">
        <v>47</v>
      </c>
      <c r="B39" s="266">
        <v>3230</v>
      </c>
      <c r="C39" s="232"/>
      <c r="D39" s="232"/>
      <c r="E39" s="233">
        <f t="shared" si="9"/>
        <v>0</v>
      </c>
      <c r="F39" s="232">
        <f>SUM(G39:J39)</f>
        <v>0</v>
      </c>
      <c r="G39" s="232"/>
      <c r="H39" s="232"/>
      <c r="I39" s="232"/>
      <c r="J39" s="232"/>
      <c r="L39" s="267"/>
      <c r="M39" s="267"/>
      <c r="N39" s="267"/>
      <c r="O39" s="267"/>
      <c r="P39" s="267"/>
      <c r="Q39" s="267"/>
      <c r="R39" s="267"/>
      <c r="S39" s="267"/>
    </row>
    <row r="40" spans="1:19" ht="39" customHeight="1">
      <c r="A40" s="265" t="s">
        <v>373</v>
      </c>
      <c r="B40" s="266">
        <v>3240</v>
      </c>
      <c r="C40" s="232"/>
      <c r="D40" s="232"/>
      <c r="E40" s="233">
        <f t="shared" si="9"/>
        <v>0</v>
      </c>
      <c r="F40" s="232">
        <f t="shared" ref="F40:F50" si="10">SUM(G40:J40)</f>
        <v>0</v>
      </c>
      <c r="G40" s="232"/>
      <c r="H40" s="232"/>
      <c r="I40" s="232"/>
      <c r="J40" s="232"/>
      <c r="L40" s="267"/>
      <c r="M40" s="267"/>
      <c r="N40" s="267"/>
      <c r="O40" s="267"/>
      <c r="P40" s="267"/>
      <c r="Q40" s="267"/>
      <c r="R40" s="267"/>
      <c r="S40" s="267"/>
    </row>
    <row r="41" spans="1:19" ht="39" customHeight="1">
      <c r="A41" s="263" t="s">
        <v>263</v>
      </c>
      <c r="B41" s="264">
        <v>3255</v>
      </c>
      <c r="C41" s="233">
        <f t="shared" ref="C41:J41" si="11">SUM(C42,C44,C51)</f>
        <v>-1744</v>
      </c>
      <c r="D41" s="233">
        <f t="shared" si="11"/>
        <v>-144</v>
      </c>
      <c r="E41" s="233">
        <f t="shared" si="11"/>
        <v>-144</v>
      </c>
      <c r="F41" s="233">
        <f t="shared" si="10"/>
        <v>-23793</v>
      </c>
      <c r="G41" s="233">
        <f t="shared" si="11"/>
        <v>-24</v>
      </c>
      <c r="H41" s="233">
        <f t="shared" si="11"/>
        <v>-23721</v>
      </c>
      <c r="I41" s="233">
        <f t="shared" si="11"/>
        <v>-24</v>
      </c>
      <c r="J41" s="233">
        <f t="shared" si="11"/>
        <v>-24</v>
      </c>
      <c r="L41" s="267"/>
      <c r="M41" s="267"/>
      <c r="N41" s="267"/>
      <c r="O41" s="267"/>
      <c r="P41" s="267"/>
      <c r="Q41" s="267"/>
      <c r="R41" s="267"/>
      <c r="S41" s="267"/>
    </row>
    <row r="42" spans="1:19" ht="42.75" customHeight="1">
      <c r="A42" s="270" t="s">
        <v>379</v>
      </c>
      <c r="B42" s="271">
        <v>3260</v>
      </c>
      <c r="C42" s="232" t="str">
        <f>C43</f>
        <v>(    )</v>
      </c>
      <c r="D42" s="232" t="str">
        <f t="shared" ref="D42:J42" si="12">D43</f>
        <v>(    )</v>
      </c>
      <c r="E42" s="233" t="str">
        <f t="shared" si="9"/>
        <v>(    )</v>
      </c>
      <c r="F42" s="232">
        <f t="shared" si="10"/>
        <v>0</v>
      </c>
      <c r="G42" s="232" t="str">
        <f t="shared" si="12"/>
        <v>(    )</v>
      </c>
      <c r="H42" s="232" t="str">
        <f t="shared" si="12"/>
        <v>(    )</v>
      </c>
      <c r="I42" s="232" t="str">
        <f t="shared" si="12"/>
        <v>(    )</v>
      </c>
      <c r="J42" s="232" t="str">
        <f t="shared" si="12"/>
        <v>(    )</v>
      </c>
      <c r="L42" s="267"/>
      <c r="M42" s="267"/>
      <c r="N42" s="267"/>
      <c r="O42" s="267"/>
      <c r="P42" s="267"/>
      <c r="Q42" s="267"/>
      <c r="R42" s="267"/>
      <c r="S42" s="267"/>
    </row>
    <row r="43" spans="1:19" ht="37.5" customHeight="1">
      <c r="A43" s="270" t="s">
        <v>380</v>
      </c>
      <c r="B43" s="271">
        <v>3261</v>
      </c>
      <c r="C43" s="232" t="s">
        <v>197</v>
      </c>
      <c r="D43" s="232" t="s">
        <v>197</v>
      </c>
      <c r="E43" s="233" t="str">
        <f t="shared" si="9"/>
        <v>(    )</v>
      </c>
      <c r="F43" s="232">
        <f t="shared" si="10"/>
        <v>0</v>
      </c>
      <c r="G43" s="232" t="s">
        <v>197</v>
      </c>
      <c r="H43" s="232" t="s">
        <v>197</v>
      </c>
      <c r="I43" s="232" t="s">
        <v>197</v>
      </c>
      <c r="J43" s="232" t="s">
        <v>197</v>
      </c>
      <c r="L43" s="267"/>
      <c r="M43" s="267"/>
      <c r="N43" s="267"/>
      <c r="O43" s="267"/>
      <c r="P43" s="267"/>
      <c r="Q43" s="267"/>
      <c r="R43" s="267"/>
      <c r="S43" s="267"/>
    </row>
    <row r="44" spans="1:19" ht="37.5" customHeight="1">
      <c r="A44" s="270" t="s">
        <v>381</v>
      </c>
      <c r="B44" s="271">
        <v>3270</v>
      </c>
      <c r="C44" s="232">
        <f t="shared" ref="C44:E44" si="13">SUM(C45:C51)</f>
        <v>-1744</v>
      </c>
      <c r="D44" s="232">
        <f t="shared" si="13"/>
        <v>-144</v>
      </c>
      <c r="E44" s="232">
        <f t="shared" si="13"/>
        <v>-144</v>
      </c>
      <c r="F44" s="232">
        <f t="shared" si="10"/>
        <v>-23793</v>
      </c>
      <c r="G44" s="232">
        <f>SUM(G45:G51)</f>
        <v>-24</v>
      </c>
      <c r="H44" s="232">
        <f t="shared" ref="H44:J44" si="14">SUM(H45:H51)</f>
        <v>-23721</v>
      </c>
      <c r="I44" s="232">
        <f t="shared" si="14"/>
        <v>-24</v>
      </c>
      <c r="J44" s="232">
        <f t="shared" si="14"/>
        <v>-24</v>
      </c>
      <c r="L44" s="267"/>
      <c r="M44" s="267"/>
      <c r="N44" s="267"/>
      <c r="O44" s="267"/>
      <c r="P44" s="267"/>
      <c r="Q44" s="267"/>
      <c r="R44" s="267"/>
      <c r="S44" s="267"/>
    </row>
    <row r="45" spans="1:19" ht="36.75" customHeight="1">
      <c r="A45" s="270" t="s">
        <v>551</v>
      </c>
      <c r="B45" s="271">
        <v>3271</v>
      </c>
      <c r="C45" s="232" t="s">
        <v>197</v>
      </c>
      <c r="D45" s="232" t="s">
        <v>197</v>
      </c>
      <c r="E45" s="232" t="s">
        <v>197</v>
      </c>
      <c r="F45" s="232">
        <f>SUM(G45:J45)</f>
        <v>0</v>
      </c>
      <c r="G45" s="232" t="s">
        <v>197</v>
      </c>
      <c r="H45" s="232" t="s">
        <v>197</v>
      </c>
      <c r="I45" s="232" t="s">
        <v>197</v>
      </c>
      <c r="J45" s="232" t="s">
        <v>197</v>
      </c>
      <c r="L45" s="267"/>
      <c r="M45" s="267"/>
      <c r="N45" s="267"/>
      <c r="O45" s="267"/>
      <c r="P45" s="267"/>
      <c r="Q45" s="267"/>
      <c r="R45" s="267"/>
      <c r="S45" s="267"/>
    </row>
    <row r="46" spans="1:19" ht="36.75" customHeight="1">
      <c r="A46" s="265" t="s">
        <v>382</v>
      </c>
      <c r="B46" s="266">
        <v>3272</v>
      </c>
      <c r="C46" s="232">
        <f>'Розшифровка до Руху'!C30</f>
        <v>-699</v>
      </c>
      <c r="D46" s="232">
        <f>'Розшифровка до Руху'!D30</f>
        <v>-120</v>
      </c>
      <c r="E46" s="232">
        <f>'Розшифровка до Руху'!E30</f>
        <v>-120</v>
      </c>
      <c r="F46" s="232">
        <f t="shared" si="10"/>
        <v>-23697</v>
      </c>
      <c r="G46" s="232">
        <f>'Розшифровка до Руху'!G30</f>
        <v>0</v>
      </c>
      <c r="H46" s="232">
        <f>'Розшифровка до Руху'!H30</f>
        <v>-23697</v>
      </c>
      <c r="I46" s="232">
        <f>'Розшифровка до Руху'!I30</f>
        <v>0</v>
      </c>
      <c r="J46" s="232">
        <f>'Розшифровка до Руху'!J30</f>
        <v>0</v>
      </c>
      <c r="L46" s="267"/>
      <c r="M46" s="267"/>
      <c r="N46" s="267"/>
      <c r="O46" s="267"/>
      <c r="P46" s="267"/>
      <c r="Q46" s="267"/>
      <c r="R46" s="267"/>
      <c r="S46" s="267"/>
    </row>
    <row r="47" spans="1:19" ht="36.75" customHeight="1">
      <c r="A47" s="265" t="s">
        <v>27</v>
      </c>
      <c r="B47" s="266">
        <v>3273</v>
      </c>
      <c r="C47" s="232">
        <f>'Розшифровка до Руху'!C48</f>
        <v>-1014</v>
      </c>
      <c r="D47" s="232">
        <f>'Розшифровка до Руху'!D48</f>
        <v>-24</v>
      </c>
      <c r="E47" s="232">
        <f>'Розшифровка до Руху'!E48</f>
        <v>-24</v>
      </c>
      <c r="F47" s="232">
        <f t="shared" si="10"/>
        <v>-96</v>
      </c>
      <c r="G47" s="232">
        <f>'Розшифровка до Руху'!G48</f>
        <v>-24</v>
      </c>
      <c r="H47" s="232">
        <f>'Розшифровка до Руху'!H48</f>
        <v>-24</v>
      </c>
      <c r="I47" s="232">
        <f>'Розшифровка до Руху'!I48</f>
        <v>-24</v>
      </c>
      <c r="J47" s="232">
        <f>'Розшифровка до Руху'!J48</f>
        <v>-24</v>
      </c>
      <c r="L47" s="267"/>
      <c r="M47" s="267"/>
      <c r="N47" s="267"/>
      <c r="O47" s="267"/>
      <c r="P47" s="267"/>
      <c r="Q47" s="267"/>
      <c r="R47" s="267"/>
      <c r="S47" s="267"/>
    </row>
    <row r="48" spans="1:19" ht="36.75" customHeight="1">
      <c r="A48" s="265" t="s">
        <v>383</v>
      </c>
      <c r="B48" s="266">
        <v>3274</v>
      </c>
      <c r="C48" s="232" t="s">
        <v>197</v>
      </c>
      <c r="D48" s="232" t="s">
        <v>197</v>
      </c>
      <c r="E48" s="232" t="str">
        <f t="shared" si="9"/>
        <v>(    )</v>
      </c>
      <c r="F48" s="232">
        <f t="shared" si="10"/>
        <v>0</v>
      </c>
      <c r="G48" s="232" t="s">
        <v>197</v>
      </c>
      <c r="H48" s="232" t="s">
        <v>197</v>
      </c>
      <c r="I48" s="232" t="s">
        <v>197</v>
      </c>
      <c r="J48" s="232" t="s">
        <v>197</v>
      </c>
      <c r="L48" s="267"/>
      <c r="M48" s="267"/>
      <c r="N48" s="267"/>
      <c r="O48" s="267"/>
      <c r="P48" s="267"/>
      <c r="Q48" s="267"/>
      <c r="R48" s="267"/>
      <c r="S48" s="267"/>
    </row>
    <row r="49" spans="1:19" ht="49.5" customHeight="1">
      <c r="A49" s="265" t="s">
        <v>384</v>
      </c>
      <c r="B49" s="266">
        <v>3275</v>
      </c>
      <c r="C49" s="232">
        <f>'Розшифровка до Руху'!C53</f>
        <v>-31</v>
      </c>
      <c r="D49" s="232">
        <f>'Розшифровка до Руху'!D53</f>
        <v>0</v>
      </c>
      <c r="E49" s="232">
        <f>'Розшифровка до Руху'!E53</f>
        <v>0</v>
      </c>
      <c r="F49" s="232">
        <f t="shared" si="10"/>
        <v>0</v>
      </c>
      <c r="G49" s="232">
        <f>'Розшифровка до Руху'!G53</f>
        <v>0</v>
      </c>
      <c r="H49" s="232">
        <f>'Розшифровка до Руху'!H53</f>
        <v>0</v>
      </c>
      <c r="I49" s="232">
        <f>'Розшифровка до Руху'!I53</f>
        <v>0</v>
      </c>
      <c r="J49" s="232">
        <f>'Розшифровка до Руху'!J53</f>
        <v>0</v>
      </c>
      <c r="L49" s="267"/>
      <c r="M49" s="267"/>
      <c r="N49" s="267"/>
      <c r="O49" s="267"/>
      <c r="P49" s="267"/>
      <c r="Q49" s="267"/>
      <c r="R49" s="267"/>
      <c r="S49" s="267"/>
    </row>
    <row r="50" spans="1:19" ht="36" customHeight="1">
      <c r="A50" s="265" t="s">
        <v>385</v>
      </c>
      <c r="B50" s="266">
        <v>3276</v>
      </c>
      <c r="C50" s="232" t="s">
        <v>197</v>
      </c>
      <c r="D50" s="232" t="s">
        <v>197</v>
      </c>
      <c r="E50" s="232" t="str">
        <f t="shared" si="9"/>
        <v>(    )</v>
      </c>
      <c r="F50" s="232">
        <f t="shared" si="10"/>
        <v>0</v>
      </c>
      <c r="G50" s="232" t="s">
        <v>197</v>
      </c>
      <c r="H50" s="232" t="s">
        <v>197</v>
      </c>
      <c r="I50" s="232" t="s">
        <v>197</v>
      </c>
      <c r="J50" s="232" t="s">
        <v>197</v>
      </c>
      <c r="L50" s="267"/>
      <c r="M50" s="267"/>
      <c r="N50" s="267"/>
      <c r="O50" s="267"/>
      <c r="P50" s="267"/>
      <c r="Q50" s="267"/>
      <c r="R50" s="267"/>
      <c r="S50" s="267"/>
    </row>
    <row r="51" spans="1:19" ht="33" customHeight="1">
      <c r="A51" s="265" t="s">
        <v>307</v>
      </c>
      <c r="B51" s="266">
        <v>3280</v>
      </c>
      <c r="C51" s="232" t="s">
        <v>197</v>
      </c>
      <c r="D51" s="232" t="s">
        <v>197</v>
      </c>
      <c r="E51" s="232" t="str">
        <f t="shared" si="9"/>
        <v>(    )</v>
      </c>
      <c r="F51" s="232">
        <f t="shared" ref="F51:F60" si="15">SUM(G51:J51)</f>
        <v>0</v>
      </c>
      <c r="G51" s="232" t="s">
        <v>197</v>
      </c>
      <c r="H51" s="232" t="s">
        <v>197</v>
      </c>
      <c r="I51" s="232" t="s">
        <v>197</v>
      </c>
      <c r="J51" s="232" t="s">
        <v>197</v>
      </c>
      <c r="L51" s="267"/>
      <c r="M51" s="267"/>
      <c r="N51" s="267"/>
      <c r="O51" s="267"/>
      <c r="P51" s="267"/>
      <c r="Q51" s="267"/>
      <c r="R51" s="267"/>
      <c r="S51" s="267"/>
    </row>
    <row r="52" spans="1:19" ht="34.5" customHeight="1">
      <c r="A52" s="263" t="s">
        <v>112</v>
      </c>
      <c r="B52" s="264">
        <v>3295</v>
      </c>
      <c r="C52" s="233">
        <f>SUM(C36,C41)</f>
        <v>-1744</v>
      </c>
      <c r="D52" s="233">
        <f>SUM(D36,D41)</f>
        <v>-144</v>
      </c>
      <c r="E52" s="233">
        <f>SUM(E36,E41)</f>
        <v>-144</v>
      </c>
      <c r="F52" s="233">
        <f t="shared" si="15"/>
        <v>-23793</v>
      </c>
      <c r="G52" s="233">
        <f>SUM(G36,G41)</f>
        <v>-24</v>
      </c>
      <c r="H52" s="233">
        <f>SUM(H36,H41)</f>
        <v>-23721</v>
      </c>
      <c r="I52" s="233">
        <f>SUM(I36,I41)</f>
        <v>-24</v>
      </c>
      <c r="J52" s="233">
        <f>SUM(J36,J41)</f>
        <v>-24</v>
      </c>
      <c r="L52" s="267"/>
      <c r="M52" s="267"/>
      <c r="N52" s="267"/>
      <c r="O52" s="267"/>
      <c r="P52" s="267"/>
      <c r="Q52" s="267"/>
      <c r="R52" s="267"/>
      <c r="S52" s="267"/>
    </row>
    <row r="53" spans="1:19" ht="34.5" customHeight="1">
      <c r="A53" s="257" t="s">
        <v>113</v>
      </c>
      <c r="B53" s="258"/>
      <c r="C53" s="268"/>
      <c r="D53" s="268"/>
      <c r="E53" s="272">
        <f t="shared" si="9"/>
        <v>0</v>
      </c>
      <c r="F53" s="268"/>
      <c r="G53" s="268"/>
      <c r="H53" s="268"/>
      <c r="I53" s="268"/>
      <c r="J53" s="269"/>
      <c r="L53" s="267"/>
      <c r="M53" s="267"/>
      <c r="N53" s="267"/>
      <c r="O53" s="267"/>
      <c r="P53" s="267"/>
      <c r="Q53" s="267"/>
      <c r="R53" s="267"/>
      <c r="S53" s="267"/>
    </row>
    <row r="54" spans="1:19" ht="34.5" customHeight="1">
      <c r="A54" s="263" t="s">
        <v>264</v>
      </c>
      <c r="B54" s="264">
        <v>3300</v>
      </c>
      <c r="C54" s="233">
        <f>SUM(C55,C56,C57)</f>
        <v>2500</v>
      </c>
      <c r="D54" s="233">
        <f t="shared" ref="D54:E54" si="16">SUM(D55,D56,D57)</f>
        <v>1917</v>
      </c>
      <c r="E54" s="233">
        <f t="shared" si="16"/>
        <v>2717</v>
      </c>
      <c r="F54" s="233">
        <f t="shared" si="15"/>
        <v>23697</v>
      </c>
      <c r="G54" s="233">
        <f>SUM(G55,G56,G57)</f>
        <v>0</v>
      </c>
      <c r="H54" s="233">
        <f>SUM(H55,H56,H57)</f>
        <v>23697</v>
      </c>
      <c r="I54" s="233">
        <f>SUM(I55,I56,I57)</f>
        <v>0</v>
      </c>
      <c r="J54" s="233">
        <f>SUM(J55,J56,J57)</f>
        <v>0</v>
      </c>
      <c r="L54" s="267"/>
      <c r="M54" s="267"/>
      <c r="N54" s="267"/>
      <c r="O54" s="267"/>
      <c r="P54" s="267"/>
      <c r="Q54" s="267"/>
      <c r="R54" s="267"/>
      <c r="S54" s="267"/>
    </row>
    <row r="55" spans="1:19" ht="33" customHeight="1">
      <c r="A55" s="265" t="s">
        <v>265</v>
      </c>
      <c r="B55" s="266">
        <v>3310</v>
      </c>
      <c r="C55" s="232"/>
      <c r="D55" s="232"/>
      <c r="E55" s="232"/>
      <c r="F55" s="232">
        <f t="shared" si="15"/>
        <v>23697</v>
      </c>
      <c r="G55" s="232">
        <f>'VII Статутн капіт'!G9</f>
        <v>0</v>
      </c>
      <c r="H55" s="232">
        <f>'VII Статутн капіт'!H9</f>
        <v>23697</v>
      </c>
      <c r="I55" s="232">
        <f>'VII Статутн капіт'!I9</f>
        <v>0</v>
      </c>
      <c r="J55" s="232">
        <f>'VII Статутн капіт'!J9</f>
        <v>0</v>
      </c>
      <c r="L55" s="267"/>
      <c r="M55" s="267"/>
      <c r="N55" s="267"/>
      <c r="O55" s="267"/>
      <c r="P55" s="267"/>
      <c r="Q55" s="267"/>
      <c r="R55" s="267"/>
      <c r="S55" s="267"/>
    </row>
    <row r="56" spans="1:19" ht="34.5" customHeight="1">
      <c r="A56" s="265" t="s">
        <v>386</v>
      </c>
      <c r="B56" s="266">
        <v>3320</v>
      </c>
      <c r="C56" s="232">
        <v>2500</v>
      </c>
      <c r="D56" s="232">
        <v>1917</v>
      </c>
      <c r="E56" s="232">
        <v>2717</v>
      </c>
      <c r="F56" s="232">
        <f t="shared" si="15"/>
        <v>0</v>
      </c>
      <c r="G56" s="232"/>
      <c r="H56" s="232"/>
      <c r="I56" s="232"/>
      <c r="J56" s="232"/>
      <c r="L56" s="267"/>
      <c r="M56" s="267"/>
      <c r="N56" s="267"/>
      <c r="O56" s="267"/>
      <c r="P56" s="267"/>
      <c r="Q56" s="267"/>
      <c r="R56" s="267"/>
      <c r="S56" s="267"/>
    </row>
    <row r="57" spans="1:19" ht="39" customHeight="1">
      <c r="A57" s="265" t="s">
        <v>373</v>
      </c>
      <c r="B57" s="266">
        <v>3330</v>
      </c>
      <c r="C57" s="232"/>
      <c r="D57" s="232"/>
      <c r="E57" s="233"/>
      <c r="F57" s="232">
        <f t="shared" si="15"/>
        <v>0</v>
      </c>
      <c r="G57" s="232"/>
      <c r="H57" s="232"/>
      <c r="I57" s="232"/>
      <c r="J57" s="232"/>
      <c r="L57" s="267"/>
      <c r="M57" s="267"/>
      <c r="N57" s="267"/>
      <c r="O57" s="267"/>
      <c r="P57" s="267"/>
      <c r="Q57" s="267"/>
      <c r="R57" s="267"/>
      <c r="S57" s="267"/>
    </row>
    <row r="58" spans="1:19" ht="34.5" customHeight="1">
      <c r="A58" s="263" t="s">
        <v>266</v>
      </c>
      <c r="B58" s="264">
        <v>3345</v>
      </c>
      <c r="C58" s="233">
        <f>SUM(C59,C60,C61,C62,C63)</f>
        <v>-11074</v>
      </c>
      <c r="D58" s="233">
        <f t="shared" ref="D58:E58" si="17">SUM(D59,D60,D61,D62,D63)</f>
        <v>-7770</v>
      </c>
      <c r="E58" s="233">
        <f t="shared" si="17"/>
        <v>-7100</v>
      </c>
      <c r="F58" s="233">
        <f t="shared" si="15"/>
        <v>-4974</v>
      </c>
      <c r="G58" s="233">
        <f t="shared" ref="G58:J58" si="18">SUM(G59,G60,G61,G62,G63)</f>
        <v>-2034</v>
      </c>
      <c r="H58" s="233">
        <f t="shared" si="18"/>
        <v>-1002</v>
      </c>
      <c r="I58" s="233">
        <f t="shared" si="18"/>
        <v>-996</v>
      </c>
      <c r="J58" s="233">
        <f t="shared" si="18"/>
        <v>-942</v>
      </c>
      <c r="L58" s="267"/>
      <c r="M58" s="267"/>
      <c r="N58" s="267"/>
      <c r="O58" s="267"/>
      <c r="P58" s="267"/>
      <c r="Q58" s="267"/>
      <c r="R58" s="267"/>
      <c r="S58" s="267"/>
    </row>
    <row r="59" spans="1:19" ht="39.75" customHeight="1">
      <c r="A59" s="265" t="s">
        <v>267</v>
      </c>
      <c r="B59" s="266">
        <v>3350</v>
      </c>
      <c r="C59" s="232" t="s">
        <v>197</v>
      </c>
      <c r="D59" s="232" t="s">
        <v>197</v>
      </c>
      <c r="E59" s="232" t="str">
        <f t="shared" si="9"/>
        <v>(    )</v>
      </c>
      <c r="F59" s="232">
        <f>SUM(G59:J59)</f>
        <v>0</v>
      </c>
      <c r="G59" s="232" t="s">
        <v>197</v>
      </c>
      <c r="H59" s="232" t="s">
        <v>197</v>
      </c>
      <c r="I59" s="232" t="s">
        <v>197</v>
      </c>
      <c r="J59" s="232" t="s">
        <v>197</v>
      </c>
      <c r="L59" s="267"/>
      <c r="M59" s="267"/>
      <c r="N59" s="267"/>
      <c r="O59" s="267"/>
      <c r="P59" s="267"/>
      <c r="Q59" s="267"/>
      <c r="R59" s="267"/>
      <c r="S59" s="267"/>
    </row>
    <row r="60" spans="1:19" ht="39.75" customHeight="1">
      <c r="A60" s="265" t="s">
        <v>387</v>
      </c>
      <c r="B60" s="266">
        <v>3360</v>
      </c>
      <c r="C60" s="232">
        <v>-9782</v>
      </c>
      <c r="D60" s="232">
        <v>-6282</v>
      </c>
      <c r="E60" s="232">
        <v>-5612</v>
      </c>
      <c r="F60" s="232">
        <f t="shared" si="15"/>
        <v>-4049</v>
      </c>
      <c r="G60" s="232">
        <f>-ROUND(кредити!AJ94/1000,0)-800</f>
        <v>-1607</v>
      </c>
      <c r="H60" s="232">
        <f>-ROUND(кредити!AJ98/1000,0)</f>
        <v>-814</v>
      </c>
      <c r="I60" s="232">
        <f>-ROUND(кредити!AJ102/1000,0)</f>
        <v>-821</v>
      </c>
      <c r="J60" s="232">
        <f>-ROUND(кредити!AJ106/1000,0)-169</f>
        <v>-807</v>
      </c>
      <c r="L60" s="267"/>
      <c r="M60" s="267"/>
      <c r="N60" s="267"/>
      <c r="O60" s="267"/>
      <c r="P60" s="267"/>
      <c r="Q60" s="267"/>
      <c r="R60" s="267"/>
      <c r="S60" s="267"/>
    </row>
    <row r="61" spans="1:19" ht="39.75" customHeight="1">
      <c r="A61" s="265" t="s">
        <v>388</v>
      </c>
      <c r="B61" s="266">
        <v>3370</v>
      </c>
      <c r="C61" s="232">
        <v>-459</v>
      </c>
      <c r="D61" s="232">
        <v>-927</v>
      </c>
      <c r="E61" s="232">
        <f t="shared" si="9"/>
        <v>-927</v>
      </c>
      <c r="F61" s="232">
        <f>SUM(G61:J61)</f>
        <v>-663</v>
      </c>
      <c r="G61" s="232">
        <v>-331</v>
      </c>
      <c r="H61" s="232">
        <f>-'ІІ. Розр. з бюджетом'!G33</f>
        <v>-118</v>
      </c>
      <c r="I61" s="232">
        <f>-'ІІ. Розр. з бюджетом'!H33</f>
        <v>-120</v>
      </c>
      <c r="J61" s="232">
        <f>-'ІІ. Розр. з бюджетом'!I33</f>
        <v>-94</v>
      </c>
      <c r="L61" s="267"/>
      <c r="M61" s="267"/>
      <c r="N61" s="267"/>
      <c r="O61" s="267"/>
      <c r="P61" s="267"/>
      <c r="Q61" s="267"/>
      <c r="R61" s="267"/>
      <c r="S61" s="267"/>
    </row>
    <row r="62" spans="1:19" ht="39.75" customHeight="1">
      <c r="A62" s="265" t="s">
        <v>389</v>
      </c>
      <c r="B62" s="266">
        <v>3380</v>
      </c>
      <c r="C62" s="232">
        <v>-833</v>
      </c>
      <c r="D62" s="232">
        <v>-561</v>
      </c>
      <c r="E62" s="232">
        <f t="shared" si="9"/>
        <v>-561</v>
      </c>
      <c r="F62" s="232">
        <f>SUM(G62:J62)</f>
        <v>-262</v>
      </c>
      <c r="G62" s="232">
        <f>'I. Фін результат'!G63</f>
        <v>-96</v>
      </c>
      <c r="H62" s="232">
        <f>'I. Фін результат'!H63</f>
        <v>-70</v>
      </c>
      <c r="I62" s="232">
        <f>'I. Фін результат'!I63</f>
        <v>-55</v>
      </c>
      <c r="J62" s="232">
        <f>'I. Фін результат'!J63</f>
        <v>-41</v>
      </c>
      <c r="L62" s="267"/>
      <c r="M62" s="267"/>
      <c r="N62" s="267"/>
      <c r="O62" s="267"/>
      <c r="P62" s="267"/>
      <c r="Q62" s="267"/>
      <c r="R62" s="267"/>
      <c r="S62" s="267"/>
    </row>
    <row r="63" spans="1:19" ht="39.75" customHeight="1">
      <c r="A63" s="265" t="s">
        <v>307</v>
      </c>
      <c r="B63" s="266">
        <v>3390</v>
      </c>
      <c r="C63" s="232" t="s">
        <v>197</v>
      </c>
      <c r="D63" s="232" t="s">
        <v>197</v>
      </c>
      <c r="E63" s="232" t="str">
        <f t="shared" si="9"/>
        <v>(    )</v>
      </c>
      <c r="F63" s="232">
        <f>SUM(G63:J63)</f>
        <v>0</v>
      </c>
      <c r="G63" s="232" t="s">
        <v>197</v>
      </c>
      <c r="H63" s="232" t="s">
        <v>197</v>
      </c>
      <c r="I63" s="232" t="s">
        <v>197</v>
      </c>
      <c r="J63" s="232" t="s">
        <v>197</v>
      </c>
      <c r="L63" s="267"/>
      <c r="M63" s="267"/>
      <c r="N63" s="267"/>
      <c r="O63" s="267"/>
      <c r="P63" s="267"/>
      <c r="Q63" s="267"/>
      <c r="R63" s="267"/>
      <c r="S63" s="267"/>
    </row>
    <row r="64" spans="1:19" ht="31.5" customHeight="1">
      <c r="A64" s="263" t="s">
        <v>114</v>
      </c>
      <c r="B64" s="264">
        <v>3395</v>
      </c>
      <c r="C64" s="233">
        <f>SUM(C54,C58)</f>
        <v>-8574</v>
      </c>
      <c r="D64" s="233">
        <f>SUM(D54,D58)</f>
        <v>-5853</v>
      </c>
      <c r="E64" s="233">
        <f>SUM(E54,E58)</f>
        <v>-4383</v>
      </c>
      <c r="F64" s="233">
        <f>SUM(G64:J64)</f>
        <v>18723</v>
      </c>
      <c r="G64" s="233">
        <f>SUM(G54,G58)</f>
        <v>-2034</v>
      </c>
      <c r="H64" s="233">
        <f>SUM(H54,H58)</f>
        <v>22695</v>
      </c>
      <c r="I64" s="233">
        <f>SUM(I54,I58)</f>
        <v>-996</v>
      </c>
      <c r="J64" s="233">
        <f>SUM(J54,J58)</f>
        <v>-942</v>
      </c>
      <c r="L64" s="267"/>
      <c r="M64" s="267"/>
      <c r="N64" s="267"/>
      <c r="O64" s="267"/>
      <c r="P64" s="267"/>
      <c r="Q64" s="267"/>
      <c r="R64" s="267"/>
      <c r="S64" s="267"/>
    </row>
    <row r="65" spans="1:19" ht="30" customHeight="1">
      <c r="A65" s="263" t="s">
        <v>28</v>
      </c>
      <c r="B65" s="264">
        <v>3400</v>
      </c>
      <c r="C65" s="233">
        <f t="shared" ref="C65:J65" si="19">SUM(C34,C52,C64)</f>
        <v>60</v>
      </c>
      <c r="D65" s="233">
        <f t="shared" si="19"/>
        <v>-125</v>
      </c>
      <c r="E65" s="233">
        <f t="shared" si="19"/>
        <v>-125</v>
      </c>
      <c r="F65" s="233">
        <f t="shared" si="19"/>
        <v>108</v>
      </c>
      <c r="G65" s="233">
        <f t="shared" si="19"/>
        <v>6</v>
      </c>
      <c r="H65" s="233">
        <f t="shared" si="19"/>
        <v>3</v>
      </c>
      <c r="I65" s="233">
        <f t="shared" si="19"/>
        <v>4</v>
      </c>
      <c r="J65" s="233">
        <f t="shared" si="19"/>
        <v>95</v>
      </c>
      <c r="L65" s="267"/>
      <c r="M65" s="267"/>
      <c r="N65" s="267"/>
      <c r="O65" s="267"/>
      <c r="P65" s="267"/>
      <c r="Q65" s="267"/>
      <c r="R65" s="267"/>
      <c r="S65" s="267"/>
    </row>
    <row r="66" spans="1:19" ht="37.5" customHeight="1">
      <c r="A66" s="265" t="s">
        <v>390</v>
      </c>
      <c r="B66" s="266">
        <v>3405</v>
      </c>
      <c r="C66" s="232">
        <v>580</v>
      </c>
      <c r="D66" s="232">
        <v>175</v>
      </c>
      <c r="E66" s="232">
        <f>C68</f>
        <v>640</v>
      </c>
      <c r="F66" s="232">
        <f>E68</f>
        <v>515</v>
      </c>
      <c r="G66" s="232">
        <f>F66</f>
        <v>515</v>
      </c>
      <c r="H66" s="232">
        <f>G68</f>
        <v>521</v>
      </c>
      <c r="I66" s="232">
        <f>H68</f>
        <v>524</v>
      </c>
      <c r="J66" s="232">
        <f>I68</f>
        <v>528</v>
      </c>
      <c r="L66" s="267"/>
      <c r="M66" s="267"/>
      <c r="N66" s="267"/>
      <c r="O66" s="267"/>
      <c r="P66" s="267"/>
      <c r="Q66" s="267"/>
      <c r="R66" s="267"/>
      <c r="S66" s="267"/>
    </row>
    <row r="67" spans="1:19" ht="34.5" customHeight="1">
      <c r="A67" s="265" t="s">
        <v>116</v>
      </c>
      <c r="B67" s="266">
        <v>3410</v>
      </c>
      <c r="C67" s="232"/>
      <c r="D67" s="232"/>
      <c r="E67" s="232"/>
      <c r="F67" s="232">
        <f>SUM(G67:J67)</f>
        <v>0</v>
      </c>
      <c r="G67" s="232"/>
      <c r="H67" s="232"/>
      <c r="I67" s="232"/>
      <c r="J67" s="232"/>
      <c r="L67" s="267"/>
      <c r="M67" s="267"/>
      <c r="N67" s="267"/>
      <c r="O67" s="267"/>
      <c r="P67" s="267"/>
      <c r="Q67" s="267"/>
      <c r="R67" s="267"/>
      <c r="S67" s="267"/>
    </row>
    <row r="68" spans="1:19" ht="36" customHeight="1">
      <c r="A68" s="265" t="s">
        <v>391</v>
      </c>
      <c r="B68" s="266">
        <v>3415</v>
      </c>
      <c r="C68" s="232">
        <f>SUM(C66,C65,C67)</f>
        <v>640</v>
      </c>
      <c r="D68" s="232">
        <f t="shared" ref="D68:J68" si="20">SUM(D66,D65,D67)</f>
        <v>50</v>
      </c>
      <c r="E68" s="232">
        <f t="shared" si="20"/>
        <v>515</v>
      </c>
      <c r="F68" s="232">
        <f t="shared" si="20"/>
        <v>623</v>
      </c>
      <c r="G68" s="232">
        <f t="shared" si="20"/>
        <v>521</v>
      </c>
      <c r="H68" s="232">
        <f t="shared" si="20"/>
        <v>524</v>
      </c>
      <c r="I68" s="232">
        <f t="shared" si="20"/>
        <v>528</v>
      </c>
      <c r="J68" s="232">
        <f t="shared" si="20"/>
        <v>623</v>
      </c>
      <c r="L68" s="267"/>
      <c r="M68" s="267"/>
      <c r="N68" s="267"/>
      <c r="O68" s="267"/>
      <c r="P68" s="267"/>
      <c r="Q68" s="267"/>
      <c r="R68" s="267"/>
      <c r="S68" s="267"/>
    </row>
    <row r="69" spans="1:19" s="277" customFormat="1" ht="53.25" customHeight="1">
      <c r="A69" s="29"/>
      <c r="B69" s="273"/>
      <c r="C69" s="274"/>
      <c r="D69" s="275"/>
      <c r="E69" s="275"/>
      <c r="F69" s="276"/>
      <c r="G69" s="275"/>
      <c r="H69" s="275"/>
      <c r="I69" s="275"/>
      <c r="J69" s="275"/>
    </row>
    <row r="70" spans="1:19" s="166" customFormat="1" ht="34.5" customHeight="1">
      <c r="A70" s="278" t="s">
        <v>519</v>
      </c>
      <c r="B70" s="279"/>
      <c r="C70" s="513" t="s">
        <v>84</v>
      </c>
      <c r="D70" s="514"/>
      <c r="E70" s="514"/>
      <c r="F70" s="514"/>
      <c r="G70" s="280"/>
      <c r="H70" s="515" t="s">
        <v>657</v>
      </c>
      <c r="I70" s="515"/>
      <c r="J70" s="515"/>
    </row>
    <row r="71" spans="1:19" s="170" customFormat="1" ht="36" customHeight="1">
      <c r="A71" s="283" t="s">
        <v>365</v>
      </c>
      <c r="B71" s="282"/>
      <c r="C71" s="527" t="s">
        <v>69</v>
      </c>
      <c r="D71" s="527"/>
      <c r="E71" s="527"/>
      <c r="F71" s="527"/>
      <c r="G71" s="284"/>
      <c r="H71" s="520" t="s">
        <v>82</v>
      </c>
      <c r="I71" s="520"/>
      <c r="J71" s="520"/>
    </row>
    <row r="72" spans="1:19">
      <c r="C72" s="367"/>
    </row>
    <row r="73" spans="1:19">
      <c r="C73" s="367"/>
    </row>
    <row r="74" spans="1:19">
      <c r="C74" s="286"/>
      <c r="D74" s="286"/>
      <c r="E74" s="286"/>
      <c r="F74" s="287"/>
      <c r="G74" s="287"/>
      <c r="H74" s="287"/>
      <c r="I74" s="287"/>
      <c r="J74" s="287"/>
    </row>
    <row r="75" spans="1:19">
      <c r="C75" s="286"/>
      <c r="D75" s="286"/>
      <c r="E75" s="286"/>
      <c r="F75" s="288"/>
      <c r="G75" s="287"/>
      <c r="H75" s="287"/>
      <c r="I75" s="287"/>
      <c r="J75" s="287"/>
    </row>
    <row r="76" spans="1:19">
      <c r="C76" s="289"/>
      <c r="D76" s="289"/>
      <c r="E76" s="289"/>
      <c r="F76" s="290"/>
      <c r="G76" s="289"/>
      <c r="H76" s="289"/>
      <c r="I76" s="289"/>
      <c r="J76" s="289"/>
    </row>
    <row r="77" spans="1:19">
      <c r="C77" s="367"/>
    </row>
    <row r="78" spans="1:19">
      <c r="C78" s="291"/>
      <c r="D78" s="291"/>
      <c r="E78" s="291"/>
      <c r="F78" s="291"/>
      <c r="G78" s="291"/>
      <c r="H78" s="291"/>
      <c r="I78" s="291"/>
      <c r="J78" s="291"/>
    </row>
    <row r="79" spans="1:19">
      <c r="C79" s="289"/>
      <c r="D79" s="289"/>
      <c r="E79" s="289"/>
      <c r="F79" s="289"/>
      <c r="G79" s="289"/>
      <c r="H79" s="289"/>
      <c r="I79" s="289"/>
      <c r="J79" s="289"/>
    </row>
    <row r="81" spans="3:10">
      <c r="C81" s="367"/>
    </row>
    <row r="82" spans="3:10">
      <c r="C82" s="289"/>
      <c r="D82" s="289"/>
      <c r="E82" s="289"/>
      <c r="F82" s="289"/>
      <c r="G82" s="289"/>
      <c r="H82" s="289"/>
      <c r="I82" s="289"/>
      <c r="J82" s="289"/>
    </row>
    <row r="83" spans="3:10">
      <c r="C83" s="367"/>
    </row>
    <row r="84" spans="3:10">
      <c r="C84" s="367"/>
    </row>
    <row r="85" spans="3:10">
      <c r="C85" s="367"/>
    </row>
    <row r="86" spans="3:10">
      <c r="C86" s="367"/>
    </row>
    <row r="87" spans="3:10">
      <c r="C87" s="367"/>
    </row>
    <row r="88" spans="3:10">
      <c r="C88" s="367"/>
    </row>
    <row r="89" spans="3:10">
      <c r="C89" s="367"/>
    </row>
    <row r="90" spans="3:10">
      <c r="C90" s="367"/>
    </row>
    <row r="91" spans="3:10">
      <c r="C91" s="367"/>
    </row>
    <row r="92" spans="3:10">
      <c r="C92" s="367"/>
    </row>
    <row r="93" spans="3:10">
      <c r="C93" s="367"/>
    </row>
    <row r="94" spans="3:10">
      <c r="C94" s="367"/>
    </row>
    <row r="95" spans="3:10">
      <c r="C95" s="367"/>
    </row>
    <row r="96" spans="3:10">
      <c r="C96" s="367"/>
    </row>
    <row r="97" spans="3:3">
      <c r="C97" s="367"/>
    </row>
    <row r="98" spans="3:3">
      <c r="C98" s="367"/>
    </row>
    <row r="99" spans="3:3">
      <c r="C99" s="367"/>
    </row>
    <row r="100" spans="3:3">
      <c r="C100" s="367"/>
    </row>
    <row r="101" spans="3:3">
      <c r="C101" s="367"/>
    </row>
    <row r="102" spans="3:3">
      <c r="C102" s="367"/>
    </row>
  </sheetData>
  <sheetProtection algorithmName="SHA-512" hashValue="/c7ljbAsejBL8EULaD13GmKx/sRnTjncbHp4QT9Aboz0fRspKO3Tz5c+LWIdss8SLvH1xlaDQS5zhN9lFrVk2w==" saltValue="bzQ/PGbK8qeXZ+smdbPW9w==" spinCount="100000" sheet="1" objects="1" scenarios="1" selectLockedCells="1" selectUnlockedCells="1"/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31496062992125984" footer="0.51181102362204722"/>
  <pageSetup paperSize="9" scale="57" orientation="landscape" r:id="rId1"/>
  <headerFooter alignWithMargins="0"/>
  <ignoredErrors>
    <ignoredError sqref="F18 F34 F36 F52 F56 F60 F54 F6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1"/>
  <sheetViews>
    <sheetView view="pageBreakPreview" zoomScale="75" zoomScaleNormal="100" zoomScaleSheetLayoutView="75" workbookViewId="0">
      <selection activeCell="A31" sqref="A31:XFD31"/>
    </sheetView>
  </sheetViews>
  <sheetFormatPr defaultColWidth="9.109375" defaultRowHeight="18"/>
  <cols>
    <col min="1" max="1" width="85" style="1" customWidth="1"/>
    <col min="2" max="2" width="14.6640625" style="14" customWidth="1"/>
    <col min="3" max="3" width="17.44140625" style="14" customWidth="1"/>
    <col min="4" max="4" width="17" style="14" customWidth="1"/>
    <col min="5" max="5" width="18.88671875" style="14" customWidth="1"/>
    <col min="6" max="6" width="17" style="14" customWidth="1"/>
    <col min="7" max="10" width="15.44140625" style="1" customWidth="1"/>
    <col min="11" max="16384" width="9.109375" style="1"/>
  </cols>
  <sheetData>
    <row r="1" spans="1:10" ht="22.8">
      <c r="A1" s="498" t="s">
        <v>407</v>
      </c>
      <c r="B1" s="498"/>
      <c r="C1" s="498"/>
      <c r="D1" s="498"/>
      <c r="E1" s="498"/>
      <c r="F1" s="498"/>
      <c r="G1" s="498"/>
      <c r="H1" s="498"/>
    </row>
    <row r="2" spans="1:10">
      <c r="A2" s="248"/>
      <c r="B2" s="50"/>
      <c r="C2" s="248"/>
      <c r="D2" s="248"/>
      <c r="E2" s="248"/>
      <c r="F2" s="50"/>
      <c r="G2" s="248"/>
      <c r="H2" s="248"/>
      <c r="J2" s="1" t="s">
        <v>403</v>
      </c>
    </row>
    <row r="3" spans="1:10" ht="41.25" customHeight="1">
      <c r="A3" s="539" t="s">
        <v>164</v>
      </c>
      <c r="B3" s="487" t="s">
        <v>17</v>
      </c>
      <c r="C3" s="487" t="s">
        <v>631</v>
      </c>
      <c r="D3" s="487" t="s">
        <v>632</v>
      </c>
      <c r="E3" s="485" t="s">
        <v>633</v>
      </c>
      <c r="F3" s="492" t="s">
        <v>634</v>
      </c>
      <c r="G3" s="492" t="s">
        <v>329</v>
      </c>
      <c r="H3" s="492"/>
      <c r="I3" s="492"/>
      <c r="J3" s="492"/>
    </row>
    <row r="4" spans="1:10" ht="63" customHeight="1">
      <c r="A4" s="540"/>
      <c r="B4" s="488"/>
      <c r="C4" s="488"/>
      <c r="D4" s="488"/>
      <c r="E4" s="486"/>
      <c r="F4" s="492"/>
      <c r="G4" s="256" t="s">
        <v>126</v>
      </c>
      <c r="H4" s="256" t="s">
        <v>127</v>
      </c>
      <c r="I4" s="256" t="s">
        <v>128</v>
      </c>
      <c r="J4" s="256" t="s">
        <v>63</v>
      </c>
    </row>
    <row r="5" spans="1:10" ht="23.25" customHeight="1">
      <c r="A5" s="245">
        <v>1</v>
      </c>
      <c r="B5" s="244">
        <v>2</v>
      </c>
      <c r="C5" s="244">
        <v>3</v>
      </c>
      <c r="D5" s="244">
        <v>4</v>
      </c>
      <c r="E5" s="244">
        <v>5</v>
      </c>
      <c r="F5" s="244">
        <v>6</v>
      </c>
      <c r="G5" s="244">
        <v>7</v>
      </c>
      <c r="H5" s="244">
        <v>8</v>
      </c>
      <c r="I5" s="245">
        <v>9</v>
      </c>
      <c r="J5" s="245">
        <v>10</v>
      </c>
    </row>
    <row r="6" spans="1:10" ht="36" customHeight="1">
      <c r="A6" s="292" t="s">
        <v>110</v>
      </c>
      <c r="B6" s="293"/>
      <c r="C6" s="294"/>
      <c r="D6" s="294"/>
      <c r="E6" s="294"/>
      <c r="F6" s="294"/>
      <c r="G6" s="294"/>
      <c r="H6" s="294"/>
      <c r="I6" s="295"/>
      <c r="J6" s="295"/>
    </row>
    <row r="7" spans="1:10" ht="31.5" customHeight="1">
      <c r="A7" s="296" t="s">
        <v>410</v>
      </c>
      <c r="B7" s="297"/>
      <c r="C7" s="298"/>
      <c r="D7" s="298"/>
      <c r="E7" s="298"/>
      <c r="F7" s="298"/>
      <c r="G7" s="298"/>
      <c r="H7" s="298"/>
      <c r="I7" s="299"/>
      <c r="J7" s="299"/>
    </row>
    <row r="8" spans="1:10" ht="39.75" hidden="1" customHeight="1">
      <c r="A8" s="300" t="s">
        <v>416</v>
      </c>
      <c r="B8" s="293">
        <v>3030</v>
      </c>
      <c r="C8" s="294"/>
      <c r="D8" s="294"/>
      <c r="E8" s="294">
        <f>D8</f>
        <v>0</v>
      </c>
      <c r="F8" s="294">
        <f t="shared" ref="F8:F9" si="0">SUM(G8:J8)</f>
        <v>0</v>
      </c>
      <c r="G8" s="294"/>
      <c r="H8" s="294"/>
      <c r="I8" s="295"/>
      <c r="J8" s="295"/>
    </row>
    <row r="9" spans="1:10" ht="49.5" hidden="1" customHeight="1">
      <c r="A9" s="300"/>
      <c r="B9" s="293"/>
      <c r="C9" s="294"/>
      <c r="D9" s="294"/>
      <c r="E9" s="294">
        <f t="shared" ref="E9:E61" si="1">D9</f>
        <v>0</v>
      </c>
      <c r="F9" s="294">
        <f t="shared" si="0"/>
        <v>0</v>
      </c>
      <c r="G9" s="294"/>
      <c r="H9" s="294"/>
      <c r="I9" s="295"/>
      <c r="J9" s="295"/>
    </row>
    <row r="10" spans="1:10" ht="30" customHeight="1">
      <c r="A10" s="301" t="s">
        <v>417</v>
      </c>
      <c r="B10" s="293">
        <v>3080</v>
      </c>
      <c r="C10" s="302">
        <f>SUM(C11:C15)</f>
        <v>374</v>
      </c>
      <c r="D10" s="302">
        <f t="shared" ref="D10:E10" si="2">SUM(D11:D15)</f>
        <v>0</v>
      </c>
      <c r="E10" s="302">
        <f t="shared" si="2"/>
        <v>0</v>
      </c>
      <c r="F10" s="302">
        <f>SUM(G10:J10)</f>
        <v>0</v>
      </c>
      <c r="G10" s="302">
        <f t="shared" ref="G10" si="3">SUM(G11:G15)</f>
        <v>0</v>
      </c>
      <c r="H10" s="302">
        <f t="shared" ref="H10" si="4">SUM(H11:H15)</f>
        <v>0</v>
      </c>
      <c r="I10" s="302">
        <f t="shared" ref="I10" si="5">SUM(I11:I15)</f>
        <v>0</v>
      </c>
      <c r="J10" s="302">
        <f t="shared" ref="J10" si="6">SUM(J11:J15)</f>
        <v>0</v>
      </c>
    </row>
    <row r="11" spans="1:10" ht="25.5" customHeight="1">
      <c r="A11" s="300" t="s">
        <v>616</v>
      </c>
      <c r="B11" s="293"/>
      <c r="C11" s="294">
        <v>65</v>
      </c>
      <c r="D11" s="302"/>
      <c r="E11" s="302"/>
      <c r="F11" s="294">
        <f t="shared" ref="F11:F13" si="7">SUM(G11:J11)</f>
        <v>0</v>
      </c>
      <c r="G11" s="302"/>
      <c r="H11" s="302"/>
      <c r="I11" s="302"/>
      <c r="J11" s="302"/>
    </row>
    <row r="12" spans="1:10" ht="25.5" hidden="1" customHeight="1">
      <c r="A12" s="300" t="s">
        <v>617</v>
      </c>
      <c r="B12" s="293"/>
      <c r="C12" s="294"/>
      <c r="D12" s="302"/>
      <c r="E12" s="302"/>
      <c r="F12" s="294">
        <f t="shared" si="7"/>
        <v>0</v>
      </c>
      <c r="G12" s="302"/>
      <c r="H12" s="302"/>
      <c r="I12" s="302"/>
      <c r="J12" s="302"/>
    </row>
    <row r="13" spans="1:10" ht="25.5" customHeight="1">
      <c r="A13" s="300" t="s">
        <v>636</v>
      </c>
      <c r="B13" s="293"/>
      <c r="C13" s="294">
        <v>29</v>
      </c>
      <c r="D13" s="302"/>
      <c r="E13" s="302"/>
      <c r="F13" s="294">
        <f t="shared" si="7"/>
        <v>0</v>
      </c>
      <c r="G13" s="302"/>
      <c r="H13" s="302"/>
      <c r="I13" s="302"/>
      <c r="J13" s="302"/>
    </row>
    <row r="14" spans="1:10" ht="23.25" customHeight="1">
      <c r="A14" s="303" t="s">
        <v>626</v>
      </c>
      <c r="B14" s="293"/>
      <c r="C14" s="294">
        <v>280</v>
      </c>
      <c r="D14" s="294"/>
      <c r="E14" s="294">
        <f t="shared" si="1"/>
        <v>0</v>
      </c>
      <c r="F14" s="294">
        <f>SUM(G14:J14)</f>
        <v>0</v>
      </c>
      <c r="G14" s="294"/>
      <c r="H14" s="294"/>
      <c r="I14" s="295"/>
      <c r="J14" s="295"/>
    </row>
    <row r="15" spans="1:10" ht="42" hidden="1" customHeight="1">
      <c r="A15" s="304" t="s">
        <v>433</v>
      </c>
      <c r="B15" s="293"/>
      <c r="C15" s="295"/>
      <c r="D15" s="294"/>
      <c r="E15" s="294">
        <f t="shared" si="1"/>
        <v>0</v>
      </c>
      <c r="F15" s="294">
        <f t="shared" ref="F15:F62" si="8">SUM(G15:J15)</f>
        <v>0</v>
      </c>
      <c r="G15" s="294"/>
      <c r="H15" s="294"/>
      <c r="I15" s="295"/>
      <c r="J15" s="295"/>
    </row>
    <row r="16" spans="1:10" ht="28.5" hidden="1" customHeight="1">
      <c r="A16" s="305" t="s">
        <v>253</v>
      </c>
      <c r="B16" s="293"/>
      <c r="C16" s="295"/>
      <c r="D16" s="294"/>
      <c r="E16" s="294"/>
      <c r="F16" s="294"/>
      <c r="G16" s="294"/>
      <c r="H16" s="294"/>
      <c r="I16" s="295"/>
      <c r="J16" s="295"/>
    </row>
    <row r="17" spans="1:10" s="306" customFormat="1" ht="30" hidden="1" customHeight="1">
      <c r="A17" s="301" t="s">
        <v>245</v>
      </c>
      <c r="B17" s="293">
        <v>3160</v>
      </c>
      <c r="C17" s="302">
        <f>SUM(C18:C22)</f>
        <v>-109</v>
      </c>
      <c r="D17" s="302">
        <f>SUM(D24:D25)</f>
        <v>0</v>
      </c>
      <c r="E17" s="302">
        <f t="shared" ref="E17" si="9">D17</f>
        <v>0</v>
      </c>
      <c r="F17" s="302">
        <f>SUM(G17:J17)</f>
        <v>0</v>
      </c>
      <c r="G17" s="302">
        <f>SUM(G24:G25)</f>
        <v>0</v>
      </c>
      <c r="H17" s="302">
        <f>SUM(H24:H25)</f>
        <v>0</v>
      </c>
      <c r="I17" s="302">
        <f>SUM(I24:I25)</f>
        <v>0</v>
      </c>
      <c r="J17" s="302">
        <f>SUM(J24:J25)</f>
        <v>0</v>
      </c>
    </row>
    <row r="18" spans="1:10" ht="24" hidden="1" customHeight="1">
      <c r="A18" s="300" t="s">
        <v>552</v>
      </c>
      <c r="B18" s="293"/>
      <c r="C18" s="294">
        <v>-109</v>
      </c>
      <c r="D18" s="302"/>
      <c r="E18" s="302"/>
      <c r="F18" s="302"/>
      <c r="G18" s="302"/>
      <c r="H18" s="302"/>
      <c r="I18" s="302"/>
      <c r="J18" s="302"/>
    </row>
    <row r="19" spans="1:10" ht="21" hidden="1" customHeight="1">
      <c r="A19" s="300" t="s">
        <v>506</v>
      </c>
      <c r="B19" s="293"/>
      <c r="C19" s="294"/>
      <c r="D19" s="302"/>
      <c r="E19" s="302"/>
      <c r="F19" s="302"/>
      <c r="G19" s="302"/>
      <c r="H19" s="302"/>
      <c r="I19" s="302"/>
      <c r="J19" s="302"/>
    </row>
    <row r="20" spans="1:10" ht="21" hidden="1" customHeight="1">
      <c r="A20" s="300" t="s">
        <v>507</v>
      </c>
      <c r="B20" s="293"/>
      <c r="C20" s="294"/>
      <c r="D20" s="302"/>
      <c r="E20" s="302"/>
      <c r="F20" s="302"/>
      <c r="G20" s="302"/>
      <c r="H20" s="302"/>
      <c r="I20" s="302"/>
      <c r="J20" s="302"/>
    </row>
    <row r="21" spans="1:10" ht="21" hidden="1" customHeight="1">
      <c r="A21" s="300" t="s">
        <v>620</v>
      </c>
      <c r="B21" s="293"/>
      <c r="C21" s="294"/>
      <c r="D21" s="302"/>
      <c r="E21" s="302"/>
      <c r="F21" s="302"/>
      <c r="G21" s="302"/>
      <c r="H21" s="302"/>
      <c r="I21" s="302"/>
      <c r="J21" s="302"/>
    </row>
    <row r="22" spans="1:10" ht="21" hidden="1" customHeight="1">
      <c r="A22" s="300" t="s">
        <v>508</v>
      </c>
      <c r="B22" s="293"/>
      <c r="C22" s="294"/>
      <c r="D22" s="302"/>
      <c r="E22" s="302"/>
      <c r="F22" s="302"/>
      <c r="G22" s="302"/>
      <c r="H22" s="302"/>
      <c r="I22" s="302"/>
      <c r="J22" s="302"/>
    </row>
    <row r="23" spans="1:10" ht="32.25" customHeight="1">
      <c r="A23" s="292" t="s">
        <v>553</v>
      </c>
      <c r="B23" s="293"/>
      <c r="C23" s="294"/>
      <c r="D23" s="302"/>
      <c r="E23" s="302"/>
      <c r="F23" s="302"/>
      <c r="G23" s="302"/>
      <c r="H23" s="302"/>
      <c r="I23" s="302"/>
      <c r="J23" s="302"/>
    </row>
    <row r="24" spans="1:10" s="306" customFormat="1" ht="36.75" hidden="1" customHeight="1">
      <c r="A24" s="296" t="s">
        <v>260</v>
      </c>
      <c r="B24" s="307"/>
      <c r="C24" s="308"/>
      <c r="D24" s="308"/>
      <c r="E24" s="294">
        <f t="shared" si="1"/>
        <v>0</v>
      </c>
      <c r="F24" s="294">
        <f t="shared" si="8"/>
        <v>0</v>
      </c>
      <c r="G24" s="308"/>
      <c r="H24" s="308"/>
      <c r="I24" s="308"/>
      <c r="J24" s="308"/>
    </row>
    <row r="25" spans="1:10" s="306" customFormat="1" ht="40.5" hidden="1" customHeight="1">
      <c r="A25" s="300" t="s">
        <v>417</v>
      </c>
      <c r="B25" s="309">
        <v>3240</v>
      </c>
      <c r="C25" s="302"/>
      <c r="D25" s="302"/>
      <c r="E25" s="302">
        <f t="shared" si="1"/>
        <v>0</v>
      </c>
      <c r="F25" s="302">
        <f t="shared" si="8"/>
        <v>0</v>
      </c>
      <c r="G25" s="302"/>
      <c r="H25" s="302"/>
      <c r="I25" s="302"/>
      <c r="J25" s="302"/>
    </row>
    <row r="26" spans="1:10" s="306" customFormat="1" ht="30.75" customHeight="1">
      <c r="A26" s="296" t="s">
        <v>263</v>
      </c>
      <c r="B26" s="307">
        <v>3255</v>
      </c>
      <c r="C26" s="308">
        <f>C27</f>
        <v>-1744</v>
      </c>
      <c r="D26" s="308">
        <f t="shared" ref="D26:J26" si="10">D27</f>
        <v>-144</v>
      </c>
      <c r="E26" s="308">
        <f t="shared" si="10"/>
        <v>-144</v>
      </c>
      <c r="F26" s="308">
        <f t="shared" si="10"/>
        <v>-23793</v>
      </c>
      <c r="G26" s="308">
        <f t="shared" si="10"/>
        <v>-24</v>
      </c>
      <c r="H26" s="308">
        <f t="shared" si="10"/>
        <v>-23721</v>
      </c>
      <c r="I26" s="308">
        <f t="shared" si="10"/>
        <v>-24</v>
      </c>
      <c r="J26" s="308">
        <f t="shared" si="10"/>
        <v>-24</v>
      </c>
    </row>
    <row r="27" spans="1:10" s="306" customFormat="1" ht="42.75" customHeight="1">
      <c r="A27" s="263" t="s">
        <v>381</v>
      </c>
      <c r="B27" s="309">
        <v>3270</v>
      </c>
      <c r="C27" s="302">
        <f t="shared" ref="C27:J27" si="11">C28+C30+C48+C51+C53</f>
        <v>-1744</v>
      </c>
      <c r="D27" s="302">
        <f t="shared" si="11"/>
        <v>-144</v>
      </c>
      <c r="E27" s="302">
        <f t="shared" si="11"/>
        <v>-144</v>
      </c>
      <c r="F27" s="302">
        <f t="shared" si="11"/>
        <v>-23793</v>
      </c>
      <c r="G27" s="302">
        <f t="shared" si="11"/>
        <v>-24</v>
      </c>
      <c r="H27" s="302">
        <f t="shared" si="11"/>
        <v>-23721</v>
      </c>
      <c r="I27" s="302">
        <f t="shared" si="11"/>
        <v>-24</v>
      </c>
      <c r="J27" s="302">
        <f t="shared" si="11"/>
        <v>-24</v>
      </c>
    </row>
    <row r="28" spans="1:10" s="306" customFormat="1" ht="29.25" hidden="1" customHeight="1">
      <c r="A28" s="263" t="s">
        <v>456</v>
      </c>
      <c r="B28" s="309">
        <v>3271</v>
      </c>
      <c r="C28" s="302">
        <f>C29</f>
        <v>0</v>
      </c>
      <c r="D28" s="298"/>
      <c r="E28" s="294">
        <f t="shared" si="1"/>
        <v>0</v>
      </c>
      <c r="F28" s="294">
        <f t="shared" si="8"/>
        <v>0</v>
      </c>
      <c r="G28" s="298"/>
      <c r="H28" s="298"/>
      <c r="I28" s="299"/>
      <c r="J28" s="299"/>
    </row>
    <row r="29" spans="1:10" s="306" customFormat="1" ht="29.25" hidden="1" customHeight="1">
      <c r="A29" s="270" t="s">
        <v>509</v>
      </c>
      <c r="B29" s="309"/>
      <c r="C29" s="294">
        <v>0</v>
      </c>
      <c r="D29" s="298"/>
      <c r="E29" s="294"/>
      <c r="F29" s="294"/>
      <c r="G29" s="298"/>
      <c r="H29" s="298"/>
      <c r="I29" s="299"/>
      <c r="J29" s="299"/>
    </row>
    <row r="30" spans="1:10" s="306" customFormat="1" ht="36" customHeight="1">
      <c r="A30" s="292" t="s">
        <v>418</v>
      </c>
      <c r="B30" s="309">
        <v>3272</v>
      </c>
      <c r="C30" s="302">
        <f t="shared" ref="C30:J30" si="12">SUM(C31:C47)</f>
        <v>-699</v>
      </c>
      <c r="D30" s="302">
        <f t="shared" si="12"/>
        <v>-120</v>
      </c>
      <c r="E30" s="302">
        <f t="shared" si="12"/>
        <v>-120</v>
      </c>
      <c r="F30" s="302">
        <f t="shared" si="12"/>
        <v>-23697</v>
      </c>
      <c r="G30" s="302">
        <f t="shared" si="12"/>
        <v>0</v>
      </c>
      <c r="H30" s="302">
        <f t="shared" si="12"/>
        <v>-23697</v>
      </c>
      <c r="I30" s="302">
        <f t="shared" si="12"/>
        <v>0</v>
      </c>
      <c r="J30" s="302">
        <f t="shared" si="12"/>
        <v>0</v>
      </c>
    </row>
    <row r="31" spans="1:10" s="306" customFormat="1" ht="23.25" customHeight="1">
      <c r="A31" s="416" t="s">
        <v>628</v>
      </c>
      <c r="B31" s="309"/>
      <c r="C31" s="295"/>
      <c r="D31" s="294">
        <v>-120</v>
      </c>
      <c r="E31" s="294">
        <f>D31</f>
        <v>-120</v>
      </c>
      <c r="F31" s="294">
        <f t="shared" si="8"/>
        <v>0</v>
      </c>
      <c r="G31" s="294"/>
      <c r="H31" s="294"/>
      <c r="I31" s="294"/>
      <c r="J31" s="294"/>
    </row>
    <row r="32" spans="1:10" s="306" customFormat="1" ht="20.25" hidden="1" customHeight="1">
      <c r="A32" s="265" t="s">
        <v>593</v>
      </c>
      <c r="B32" s="309"/>
      <c r="C32" s="295"/>
      <c r="D32" s="294"/>
      <c r="E32" s="294">
        <f t="shared" si="1"/>
        <v>0</v>
      </c>
      <c r="F32" s="294">
        <f t="shared" si="8"/>
        <v>0</v>
      </c>
      <c r="G32" s="294"/>
      <c r="H32" s="294"/>
      <c r="I32" s="295"/>
      <c r="J32" s="295"/>
    </row>
    <row r="33" spans="1:10" s="306" customFormat="1" ht="20.25" hidden="1" customHeight="1">
      <c r="A33" s="265" t="s">
        <v>434</v>
      </c>
      <c r="B33" s="309"/>
      <c r="C33" s="295"/>
      <c r="D33" s="294"/>
      <c r="E33" s="294">
        <f t="shared" si="1"/>
        <v>0</v>
      </c>
      <c r="F33" s="294">
        <f t="shared" si="8"/>
        <v>0</v>
      </c>
      <c r="G33" s="294"/>
      <c r="H33" s="294"/>
      <c r="I33" s="295"/>
      <c r="J33" s="295"/>
    </row>
    <row r="34" spans="1:10" s="306" customFormat="1" ht="20.25" hidden="1" customHeight="1">
      <c r="A34" s="303" t="s">
        <v>435</v>
      </c>
      <c r="B34" s="309"/>
      <c r="C34" s="295"/>
      <c r="D34" s="294"/>
      <c r="E34" s="294">
        <f t="shared" si="1"/>
        <v>0</v>
      </c>
      <c r="F34" s="294">
        <f t="shared" si="8"/>
        <v>0</v>
      </c>
      <c r="G34" s="294"/>
      <c r="H34" s="294"/>
      <c r="I34" s="295"/>
      <c r="J34" s="295"/>
    </row>
    <row r="35" spans="1:10" s="306" customFormat="1" ht="20.25" hidden="1" customHeight="1">
      <c r="A35" s="265" t="s">
        <v>436</v>
      </c>
      <c r="B35" s="309"/>
      <c r="C35" s="295"/>
      <c r="D35" s="294"/>
      <c r="E35" s="294">
        <f t="shared" si="1"/>
        <v>0</v>
      </c>
      <c r="F35" s="294">
        <f t="shared" si="8"/>
        <v>0</v>
      </c>
      <c r="G35" s="294"/>
      <c r="H35" s="294"/>
      <c r="I35" s="295"/>
      <c r="J35" s="295"/>
    </row>
    <row r="36" spans="1:10" s="306" customFormat="1" ht="20.25" hidden="1" customHeight="1">
      <c r="A36" s="265" t="s">
        <v>554</v>
      </c>
      <c r="B36" s="309"/>
      <c r="C36" s="295"/>
      <c r="D36" s="294"/>
      <c r="E36" s="294">
        <f t="shared" si="1"/>
        <v>0</v>
      </c>
      <c r="F36" s="294">
        <f t="shared" si="8"/>
        <v>0</v>
      </c>
      <c r="G36" s="294"/>
      <c r="H36" s="294"/>
      <c r="I36" s="295"/>
      <c r="J36" s="295"/>
    </row>
    <row r="37" spans="1:10" s="306" customFormat="1" ht="20.25" hidden="1" customHeight="1">
      <c r="A37" s="265" t="s">
        <v>555</v>
      </c>
      <c r="B37" s="309"/>
      <c r="C37" s="295"/>
      <c r="D37" s="294"/>
      <c r="E37" s="294">
        <f t="shared" si="1"/>
        <v>0</v>
      </c>
      <c r="F37" s="294">
        <f t="shared" si="8"/>
        <v>0</v>
      </c>
      <c r="G37" s="294"/>
      <c r="H37" s="294"/>
      <c r="I37" s="295"/>
      <c r="J37" s="295"/>
    </row>
    <row r="38" spans="1:10" s="306" customFormat="1" ht="20.25" hidden="1" customHeight="1">
      <c r="A38" s="311" t="s">
        <v>565</v>
      </c>
      <c r="B38" s="309"/>
      <c r="C38" s="312"/>
      <c r="D38" s="294"/>
      <c r="E38" s="294">
        <f t="shared" si="1"/>
        <v>0</v>
      </c>
      <c r="F38" s="294">
        <f t="shared" si="8"/>
        <v>0</v>
      </c>
      <c r="G38" s="294"/>
      <c r="H38" s="294"/>
      <c r="I38" s="295"/>
      <c r="J38" s="295"/>
    </row>
    <row r="39" spans="1:10" s="306" customFormat="1" ht="20.25" hidden="1" customHeight="1">
      <c r="A39" s="311" t="s">
        <v>556</v>
      </c>
      <c r="B39" s="309"/>
      <c r="C39" s="312"/>
      <c r="D39" s="294"/>
      <c r="E39" s="294">
        <f t="shared" si="1"/>
        <v>0</v>
      </c>
      <c r="F39" s="294">
        <f t="shared" si="8"/>
        <v>0</v>
      </c>
      <c r="G39" s="294"/>
      <c r="H39" s="294"/>
      <c r="I39" s="295"/>
      <c r="J39" s="295"/>
    </row>
    <row r="40" spans="1:10" s="306" customFormat="1" ht="20.25" hidden="1" customHeight="1">
      <c r="A40" s="311" t="s">
        <v>557</v>
      </c>
      <c r="B40" s="309"/>
      <c r="C40" s="312"/>
      <c r="D40" s="294"/>
      <c r="E40" s="294">
        <f t="shared" si="1"/>
        <v>0</v>
      </c>
      <c r="F40" s="294">
        <f t="shared" si="8"/>
        <v>0</v>
      </c>
      <c r="G40" s="294"/>
      <c r="H40" s="294"/>
      <c r="I40" s="295"/>
      <c r="J40" s="295"/>
    </row>
    <row r="41" spans="1:10" s="306" customFormat="1" ht="29.25" customHeight="1">
      <c r="A41" s="311" t="s">
        <v>639</v>
      </c>
      <c r="B41" s="309"/>
      <c r="C41" s="312">
        <v>-699</v>
      </c>
      <c r="D41" s="294"/>
      <c r="E41" s="294"/>
      <c r="F41" s="294">
        <f t="shared" si="8"/>
        <v>0</v>
      </c>
      <c r="G41" s="294"/>
      <c r="H41" s="294"/>
      <c r="I41" s="295"/>
      <c r="J41" s="295"/>
    </row>
    <row r="42" spans="1:10" s="306" customFormat="1" ht="20.25" hidden="1" customHeight="1">
      <c r="A42" s="311" t="s">
        <v>621</v>
      </c>
      <c r="B42" s="309"/>
      <c r="C42" s="312"/>
      <c r="D42" s="294"/>
      <c r="E42" s="294"/>
      <c r="F42" s="294">
        <f t="shared" si="8"/>
        <v>0</v>
      </c>
      <c r="G42" s="294"/>
      <c r="H42" s="294"/>
      <c r="I42" s="295"/>
      <c r="J42" s="295"/>
    </row>
    <row r="43" spans="1:10" s="306" customFormat="1" ht="20.25" hidden="1" customHeight="1">
      <c r="A43" s="311" t="s">
        <v>608</v>
      </c>
      <c r="B43" s="309"/>
      <c r="C43" s="312"/>
      <c r="D43" s="294"/>
      <c r="E43" s="294"/>
      <c r="F43" s="294">
        <f t="shared" si="8"/>
        <v>0</v>
      </c>
      <c r="G43" s="294"/>
      <c r="H43" s="294"/>
      <c r="I43" s="295"/>
      <c r="J43" s="295"/>
    </row>
    <row r="44" spans="1:10" s="306" customFormat="1" ht="20.25" hidden="1" customHeight="1">
      <c r="A44" s="265" t="s">
        <v>558</v>
      </c>
      <c r="B44" s="309"/>
      <c r="C44" s="295"/>
      <c r="D44" s="294"/>
      <c r="E44" s="294"/>
      <c r="F44" s="294">
        <f t="shared" si="8"/>
        <v>0</v>
      </c>
      <c r="G44" s="294"/>
      <c r="H44" s="294"/>
      <c r="I44" s="295"/>
      <c r="J44" s="295"/>
    </row>
    <row r="45" spans="1:10" s="306" customFormat="1" ht="20.25" hidden="1" customHeight="1">
      <c r="A45" s="265" t="s">
        <v>559</v>
      </c>
      <c r="B45" s="309"/>
      <c r="C45" s="295"/>
      <c r="D45" s="294"/>
      <c r="E45" s="294"/>
      <c r="F45" s="294">
        <f t="shared" si="8"/>
        <v>0</v>
      </c>
      <c r="G45" s="294"/>
      <c r="H45" s="294"/>
      <c r="I45" s="295"/>
      <c r="J45" s="295"/>
    </row>
    <row r="46" spans="1:10" s="306" customFormat="1" ht="30" customHeight="1">
      <c r="A46" s="265" t="s">
        <v>677</v>
      </c>
      <c r="B46" s="309"/>
      <c r="C46" s="294">
        <v>0</v>
      </c>
      <c r="D46" s="294"/>
      <c r="E46" s="294"/>
      <c r="F46" s="294">
        <f t="shared" si="8"/>
        <v>-23697</v>
      </c>
      <c r="G46" s="294"/>
      <c r="H46" s="294">
        <v>-23697</v>
      </c>
      <c r="I46" s="295"/>
      <c r="J46" s="295"/>
    </row>
    <row r="47" spans="1:10" s="306" customFormat="1" ht="20.25" hidden="1" customHeight="1">
      <c r="A47" s="265" t="s">
        <v>560</v>
      </c>
      <c r="B47" s="309"/>
      <c r="C47" s="294">
        <v>0</v>
      </c>
      <c r="D47" s="294"/>
      <c r="E47" s="294"/>
      <c r="F47" s="294">
        <f t="shared" si="8"/>
        <v>0</v>
      </c>
      <c r="G47" s="294"/>
      <c r="H47" s="294"/>
      <c r="I47" s="295"/>
      <c r="J47" s="295"/>
    </row>
    <row r="48" spans="1:10" s="306" customFormat="1" ht="44.25" customHeight="1">
      <c r="A48" s="292" t="s">
        <v>561</v>
      </c>
      <c r="B48" s="309">
        <v>3273</v>
      </c>
      <c r="C48" s="302">
        <f>C49+C50</f>
        <v>-1014</v>
      </c>
      <c r="D48" s="302">
        <f>D49+D50</f>
        <v>-24</v>
      </c>
      <c r="E48" s="302">
        <f>E49+E50</f>
        <v>-24</v>
      </c>
      <c r="F48" s="302">
        <f>F49+F50</f>
        <v>-96</v>
      </c>
      <c r="G48" s="302">
        <f t="shared" ref="G48:J48" si="13">G49+G50</f>
        <v>-24</v>
      </c>
      <c r="H48" s="302">
        <f t="shared" si="13"/>
        <v>-24</v>
      </c>
      <c r="I48" s="302">
        <f t="shared" si="13"/>
        <v>-24</v>
      </c>
      <c r="J48" s="302">
        <f t="shared" si="13"/>
        <v>-24</v>
      </c>
    </row>
    <row r="49" spans="1:10" s="306" customFormat="1" ht="23.25" customHeight="1">
      <c r="A49" s="313" t="s">
        <v>485</v>
      </c>
      <c r="B49" s="26"/>
      <c r="C49" s="294">
        <v>-78</v>
      </c>
      <c r="D49" s="294">
        <f>-24</f>
        <v>-24</v>
      </c>
      <c r="E49" s="294">
        <f>D49</f>
        <v>-24</v>
      </c>
      <c r="F49" s="294">
        <f>SUM(G49:J49)</f>
        <v>-96</v>
      </c>
      <c r="G49" s="294">
        <v>-24</v>
      </c>
      <c r="H49" s="294">
        <v>-24</v>
      </c>
      <c r="I49" s="294">
        <v>-24</v>
      </c>
      <c r="J49" s="294">
        <v>-24</v>
      </c>
    </row>
    <row r="50" spans="1:10" s="306" customFormat="1" ht="23.25" customHeight="1">
      <c r="A50" s="265" t="s">
        <v>640</v>
      </c>
      <c r="B50" s="309"/>
      <c r="C50" s="294">
        <v>-936</v>
      </c>
      <c r="D50" s="308"/>
      <c r="E50" s="294"/>
      <c r="F50" s="294">
        <f t="shared" ref="F50" si="14">SUM(G50:J50)</f>
        <v>0</v>
      </c>
      <c r="G50" s="308"/>
      <c r="H50" s="308"/>
      <c r="I50" s="314"/>
      <c r="J50" s="314"/>
    </row>
    <row r="51" spans="1:10" s="306" customFormat="1" ht="36.75" hidden="1" customHeight="1">
      <c r="A51" s="292" t="s">
        <v>419</v>
      </c>
      <c r="B51" s="309">
        <v>3274</v>
      </c>
      <c r="C51" s="302">
        <f>C52</f>
        <v>0</v>
      </c>
      <c r="D51" s="308">
        <f t="shared" ref="D51:J51" si="15">D52</f>
        <v>0</v>
      </c>
      <c r="E51" s="294">
        <f>D51</f>
        <v>0</v>
      </c>
      <c r="F51" s="294">
        <f>SUM(G51:J51)</f>
        <v>0</v>
      </c>
      <c r="G51" s="308">
        <f t="shared" si="15"/>
        <v>0</v>
      </c>
      <c r="H51" s="308">
        <f t="shared" si="15"/>
        <v>0</v>
      </c>
      <c r="I51" s="308">
        <f t="shared" si="15"/>
        <v>0</v>
      </c>
      <c r="J51" s="308">
        <f t="shared" si="15"/>
        <v>0</v>
      </c>
    </row>
    <row r="52" spans="1:10" s="306" customFormat="1" ht="20.25" hidden="1" customHeight="1">
      <c r="A52" s="265" t="s">
        <v>562</v>
      </c>
      <c r="B52" s="309"/>
      <c r="C52" s="294">
        <v>0</v>
      </c>
      <c r="D52" s="308"/>
      <c r="E52" s="294">
        <f>D52</f>
        <v>0</v>
      </c>
      <c r="F52" s="294">
        <f>SUM(G52:J52)</f>
        <v>0</v>
      </c>
      <c r="G52" s="308"/>
      <c r="H52" s="308"/>
      <c r="I52" s="314"/>
      <c r="J52" s="314"/>
    </row>
    <row r="53" spans="1:10" s="306" customFormat="1" ht="44.25" customHeight="1">
      <c r="A53" s="292" t="s">
        <v>420</v>
      </c>
      <c r="B53" s="309">
        <v>3275</v>
      </c>
      <c r="C53" s="302">
        <f>SUM(C54:C59)</f>
        <v>-31</v>
      </c>
      <c r="D53" s="302">
        <f t="shared" ref="D53:E53" si="16">SUM(D54:D59)</f>
        <v>0</v>
      </c>
      <c r="E53" s="302">
        <f t="shared" si="16"/>
        <v>0</v>
      </c>
      <c r="F53" s="294">
        <f>SUM(G53:J53)</f>
        <v>0</v>
      </c>
      <c r="G53" s="302">
        <f>SUM(G59:G59)</f>
        <v>0</v>
      </c>
      <c r="H53" s="302">
        <f>SUM(H59:H59)</f>
        <v>0</v>
      </c>
      <c r="I53" s="302">
        <f>SUM(I59:I59)</f>
        <v>0</v>
      </c>
      <c r="J53" s="302">
        <f>SUM(J59:J59)</f>
        <v>0</v>
      </c>
    </row>
    <row r="54" spans="1:10" s="306" customFormat="1" ht="20.25" hidden="1" customHeight="1">
      <c r="A54" s="265" t="s">
        <v>510</v>
      </c>
      <c r="B54" s="309"/>
      <c r="C54" s="294">
        <v>0</v>
      </c>
      <c r="D54" s="302"/>
      <c r="E54" s="294"/>
      <c r="F54" s="294">
        <f t="shared" ref="F54:F59" si="17">SUM(G54:J54)</f>
        <v>0</v>
      </c>
      <c r="G54" s="302"/>
      <c r="H54" s="302"/>
      <c r="I54" s="302"/>
      <c r="J54" s="302"/>
    </row>
    <row r="55" spans="1:10" s="306" customFormat="1" ht="24.75" hidden="1" customHeight="1">
      <c r="A55" s="265" t="s">
        <v>511</v>
      </c>
      <c r="B55" s="309"/>
      <c r="C55" s="294">
        <v>0</v>
      </c>
      <c r="D55" s="302"/>
      <c r="E55" s="294"/>
      <c r="F55" s="294">
        <f t="shared" si="17"/>
        <v>0</v>
      </c>
      <c r="G55" s="302"/>
      <c r="H55" s="302"/>
      <c r="I55" s="302"/>
      <c r="J55" s="302"/>
    </row>
    <row r="56" spans="1:10" s="306" customFormat="1" ht="24.75" hidden="1" customHeight="1">
      <c r="A56" s="265" t="s">
        <v>512</v>
      </c>
      <c r="B56" s="309"/>
      <c r="C56" s="294"/>
      <c r="D56" s="302"/>
      <c r="E56" s="294"/>
      <c r="F56" s="294">
        <f t="shared" si="17"/>
        <v>0</v>
      </c>
      <c r="G56" s="302"/>
      <c r="H56" s="302"/>
      <c r="I56" s="302"/>
      <c r="J56" s="302"/>
    </row>
    <row r="57" spans="1:10" s="306" customFormat="1" ht="24.75" hidden="1" customHeight="1">
      <c r="A57" s="265" t="s">
        <v>606</v>
      </c>
      <c r="B57" s="309"/>
      <c r="C57" s="294"/>
      <c r="D57" s="302"/>
      <c r="E57" s="294"/>
      <c r="F57" s="294">
        <f t="shared" si="17"/>
        <v>0</v>
      </c>
      <c r="G57" s="302"/>
      <c r="H57" s="302"/>
      <c r="I57" s="302"/>
      <c r="J57" s="302"/>
    </row>
    <row r="58" spans="1:10" s="306" customFormat="1" ht="25.5" customHeight="1">
      <c r="A58" s="265" t="s">
        <v>513</v>
      </c>
      <c r="B58" s="309"/>
      <c r="C58" s="294">
        <v>-12</v>
      </c>
      <c r="D58" s="302"/>
      <c r="E58" s="294"/>
      <c r="F58" s="294">
        <f t="shared" si="17"/>
        <v>0</v>
      </c>
      <c r="G58" s="302"/>
      <c r="H58" s="302"/>
      <c r="I58" s="302"/>
      <c r="J58" s="302"/>
    </row>
    <row r="59" spans="1:10" s="306" customFormat="1" ht="25.5" customHeight="1">
      <c r="A59" s="265" t="s">
        <v>563</v>
      </c>
      <c r="B59" s="309"/>
      <c r="C59" s="294">
        <v>-19</v>
      </c>
      <c r="D59" s="294"/>
      <c r="E59" s="294"/>
      <c r="F59" s="294">
        <f t="shared" si="17"/>
        <v>0</v>
      </c>
      <c r="G59" s="294"/>
      <c r="H59" s="294"/>
      <c r="I59" s="295"/>
      <c r="J59" s="295"/>
    </row>
    <row r="60" spans="1:10" s="306" customFormat="1" ht="24.75" hidden="1" customHeight="1">
      <c r="A60" s="315" t="s">
        <v>421</v>
      </c>
    </row>
    <row r="61" spans="1:10" s="306" customFormat="1" ht="48" hidden="1" customHeight="1">
      <c r="A61" s="315" t="s">
        <v>422</v>
      </c>
      <c r="B61" s="316">
        <v>3276</v>
      </c>
      <c r="C61" s="317"/>
      <c r="D61" s="317"/>
      <c r="E61" s="318">
        <f t="shared" si="1"/>
        <v>0</v>
      </c>
      <c r="F61" s="318">
        <f t="shared" si="8"/>
        <v>0</v>
      </c>
      <c r="G61" s="317"/>
      <c r="H61" s="317"/>
      <c r="I61" s="319"/>
      <c r="J61" s="319"/>
    </row>
    <row r="62" spans="1:10" s="306" customFormat="1" ht="42" hidden="1" customHeight="1">
      <c r="A62" s="320" t="s">
        <v>113</v>
      </c>
      <c r="B62" s="316">
        <v>3280</v>
      </c>
      <c r="C62" s="318"/>
      <c r="D62" s="318"/>
      <c r="E62" s="318">
        <f t="shared" ref="E62:E67" si="18">D62</f>
        <v>0</v>
      </c>
      <c r="F62" s="318">
        <f t="shared" si="8"/>
        <v>0</v>
      </c>
      <c r="G62" s="318"/>
      <c r="H62" s="318"/>
      <c r="I62" s="321"/>
      <c r="J62" s="321"/>
    </row>
    <row r="63" spans="1:10" s="306" customFormat="1" ht="32.25" hidden="1" customHeight="1">
      <c r="A63" s="322" t="s">
        <v>264</v>
      </c>
      <c r="B63" s="316">
        <v>3300</v>
      </c>
      <c r="C63" s="323"/>
      <c r="D63" s="323"/>
      <c r="E63" s="318">
        <f t="shared" si="18"/>
        <v>0</v>
      </c>
      <c r="F63" s="318">
        <f t="shared" ref="F63:F67" si="19">SUM(G63:J63)</f>
        <v>0</v>
      </c>
      <c r="G63" s="323"/>
      <c r="H63" s="323"/>
      <c r="I63" s="323"/>
      <c r="J63" s="323"/>
    </row>
    <row r="64" spans="1:10" s="306" customFormat="1" ht="30" hidden="1" customHeight="1">
      <c r="A64" s="315" t="s">
        <v>417</v>
      </c>
      <c r="B64" s="316"/>
      <c r="C64" s="318"/>
      <c r="D64" s="318"/>
      <c r="E64" s="318">
        <f t="shared" si="18"/>
        <v>0</v>
      </c>
      <c r="F64" s="318">
        <f t="shared" si="19"/>
        <v>0</v>
      </c>
      <c r="G64" s="318"/>
      <c r="H64" s="318"/>
      <c r="I64" s="321"/>
      <c r="J64" s="321"/>
    </row>
    <row r="65" spans="1:10" s="306" customFormat="1" ht="38.25" hidden="1" customHeight="1">
      <c r="A65" s="322" t="s">
        <v>266</v>
      </c>
      <c r="B65" s="316">
        <v>3330</v>
      </c>
      <c r="C65" s="318"/>
      <c r="D65" s="318"/>
      <c r="E65" s="318">
        <f t="shared" si="18"/>
        <v>0</v>
      </c>
      <c r="F65" s="318">
        <f t="shared" si="19"/>
        <v>0</v>
      </c>
      <c r="G65" s="318"/>
      <c r="H65" s="318"/>
      <c r="I65" s="324"/>
      <c r="J65" s="324"/>
    </row>
    <row r="66" spans="1:10" s="306" customFormat="1" ht="21.75" hidden="1" customHeight="1">
      <c r="A66" s="315" t="s">
        <v>245</v>
      </c>
      <c r="B66" s="316"/>
      <c r="C66" s="323"/>
      <c r="D66" s="323"/>
      <c r="E66" s="318">
        <f t="shared" si="18"/>
        <v>0</v>
      </c>
      <c r="F66" s="318">
        <f t="shared" si="19"/>
        <v>0</v>
      </c>
      <c r="G66" s="323"/>
      <c r="H66" s="323"/>
      <c r="I66" s="323"/>
      <c r="J66" s="323"/>
    </row>
    <row r="67" spans="1:10" s="306" customFormat="1" ht="20.25" hidden="1" customHeight="1">
      <c r="A67" s="325"/>
      <c r="B67" s="316">
        <v>3390</v>
      </c>
      <c r="C67" s="318"/>
      <c r="D67" s="318"/>
      <c r="E67" s="318">
        <f t="shared" si="18"/>
        <v>0</v>
      </c>
      <c r="F67" s="318">
        <f t="shared" si="19"/>
        <v>0</v>
      </c>
      <c r="G67" s="318"/>
      <c r="H67" s="318"/>
      <c r="I67" s="318"/>
      <c r="J67" s="318"/>
    </row>
    <row r="68" spans="1:10" s="306" customFormat="1" ht="38.25" customHeight="1">
      <c r="B68" s="326"/>
      <c r="C68" s="327"/>
      <c r="D68" s="327"/>
      <c r="E68" s="327"/>
      <c r="F68" s="327"/>
      <c r="G68" s="327"/>
      <c r="H68" s="327"/>
      <c r="I68" s="327"/>
      <c r="J68" s="328"/>
    </row>
    <row r="69" spans="1:10" s="158" customFormat="1" ht="19.5" customHeight="1">
      <c r="A69" s="329" t="s">
        <v>519</v>
      </c>
      <c r="B69" s="330"/>
      <c r="C69" s="541" t="s">
        <v>84</v>
      </c>
      <c r="D69" s="541"/>
      <c r="E69" s="541"/>
      <c r="F69" s="331"/>
      <c r="G69" s="536" t="s">
        <v>657</v>
      </c>
      <c r="H69" s="536"/>
      <c r="I69" s="536"/>
    </row>
    <row r="70" spans="1:10" s="174" customFormat="1" ht="15.6">
      <c r="A70" s="332" t="s">
        <v>365</v>
      </c>
      <c r="B70" s="333"/>
      <c r="C70" s="537" t="s">
        <v>564</v>
      </c>
      <c r="D70" s="537"/>
      <c r="E70" s="335"/>
      <c r="G70" s="538" t="s">
        <v>82</v>
      </c>
      <c r="H70" s="538"/>
      <c r="I70" s="538"/>
    </row>
    <row r="71" spans="1:10">
      <c r="A71" s="52"/>
      <c r="C71" s="15"/>
      <c r="D71" s="51"/>
      <c r="E71" s="51"/>
      <c r="F71" s="51"/>
      <c r="G71" s="51"/>
      <c r="H71" s="51"/>
    </row>
    <row r="72" spans="1:10">
      <c r="A72" s="52"/>
      <c r="C72" s="15"/>
      <c r="D72" s="51"/>
      <c r="E72" s="51"/>
      <c r="F72" s="51"/>
      <c r="G72" s="51"/>
      <c r="H72" s="51"/>
    </row>
    <row r="73" spans="1:10">
      <c r="A73" s="52"/>
      <c r="C73" s="15"/>
      <c r="D73" s="51"/>
      <c r="E73" s="51"/>
      <c r="F73" s="51"/>
      <c r="G73" s="51"/>
      <c r="H73" s="51"/>
    </row>
    <row r="74" spans="1:10">
      <c r="A74" s="52"/>
      <c r="C74" s="15"/>
      <c r="D74" s="51"/>
      <c r="E74" s="51"/>
      <c r="F74" s="51"/>
      <c r="G74" s="51"/>
      <c r="H74" s="51"/>
    </row>
    <row r="75" spans="1:10">
      <c r="A75" s="52"/>
      <c r="C75" s="15"/>
      <c r="D75" s="51"/>
      <c r="E75" s="51"/>
      <c r="F75" s="51"/>
      <c r="G75" s="51"/>
      <c r="H75" s="51"/>
    </row>
    <row r="76" spans="1:10">
      <c r="A76" s="52"/>
      <c r="C76" s="15"/>
      <c r="D76" s="51"/>
      <c r="E76" s="51"/>
      <c r="F76" s="51"/>
      <c r="G76" s="51"/>
      <c r="H76" s="51"/>
    </row>
    <row r="77" spans="1:10">
      <c r="A77" s="52"/>
      <c r="C77" s="15"/>
      <c r="D77" s="51"/>
      <c r="E77" s="51"/>
      <c r="F77" s="51"/>
      <c r="G77" s="51"/>
      <c r="H77" s="51"/>
    </row>
    <row r="78" spans="1:10">
      <c r="A78" s="52"/>
      <c r="C78" s="15"/>
      <c r="D78" s="51"/>
      <c r="E78" s="51"/>
      <c r="F78" s="51"/>
      <c r="G78" s="51"/>
      <c r="H78" s="51"/>
    </row>
    <row r="79" spans="1:10">
      <c r="A79" s="52"/>
      <c r="C79" s="15"/>
      <c r="D79" s="51"/>
      <c r="E79" s="51"/>
      <c r="F79" s="51"/>
      <c r="G79" s="51"/>
      <c r="H79" s="51"/>
    </row>
    <row r="80" spans="1:10">
      <c r="A80" s="52"/>
      <c r="C80" s="15"/>
      <c r="D80" s="51"/>
      <c r="E80" s="51"/>
      <c r="F80" s="51"/>
      <c r="G80" s="51"/>
      <c r="H80" s="51"/>
    </row>
    <row r="81" spans="1:8">
      <c r="A81" s="52"/>
      <c r="C81" s="15"/>
      <c r="D81" s="51"/>
      <c r="E81" s="51"/>
      <c r="F81" s="51"/>
      <c r="G81" s="51"/>
      <c r="H81" s="51"/>
    </row>
    <row r="82" spans="1:8">
      <c r="A82" s="52"/>
      <c r="C82" s="15"/>
      <c r="D82" s="51"/>
      <c r="E82" s="51"/>
      <c r="F82" s="51"/>
      <c r="G82" s="51"/>
      <c r="H82" s="51"/>
    </row>
    <row r="83" spans="1:8">
      <c r="A83" s="52"/>
      <c r="C83" s="15"/>
      <c r="D83" s="51"/>
      <c r="E83" s="51"/>
      <c r="F83" s="51"/>
      <c r="G83" s="51"/>
      <c r="H83" s="51"/>
    </row>
    <row r="84" spans="1:8">
      <c r="A84" s="52"/>
      <c r="C84" s="15"/>
      <c r="D84" s="51"/>
      <c r="E84" s="51"/>
      <c r="F84" s="51"/>
      <c r="G84" s="51"/>
      <c r="H84" s="51"/>
    </row>
    <row r="85" spans="1:8">
      <c r="A85" s="52"/>
      <c r="C85" s="15"/>
      <c r="D85" s="51"/>
      <c r="E85" s="51"/>
      <c r="F85" s="51"/>
      <c r="G85" s="51"/>
      <c r="H85" s="51"/>
    </row>
    <row r="86" spans="1:8">
      <c r="A86" s="52"/>
      <c r="C86" s="15"/>
      <c r="D86" s="51"/>
      <c r="E86" s="51"/>
      <c r="F86" s="51"/>
      <c r="G86" s="51"/>
      <c r="H86" s="51"/>
    </row>
    <row r="87" spans="1:8">
      <c r="A87" s="52"/>
      <c r="C87" s="15"/>
      <c r="D87" s="51"/>
      <c r="E87" s="51"/>
      <c r="F87" s="51"/>
      <c r="G87" s="51"/>
      <c r="H87" s="51"/>
    </row>
    <row r="88" spans="1:8">
      <c r="A88" s="52"/>
      <c r="C88" s="15"/>
      <c r="D88" s="51"/>
      <c r="E88" s="51"/>
      <c r="F88" s="51"/>
      <c r="G88" s="51"/>
      <c r="H88" s="51"/>
    </row>
    <row r="89" spans="1:8">
      <c r="A89" s="52"/>
      <c r="C89" s="15"/>
      <c r="D89" s="51"/>
      <c r="E89" s="51"/>
      <c r="F89" s="51"/>
      <c r="G89" s="51"/>
      <c r="H89" s="51"/>
    </row>
    <row r="90" spans="1:8">
      <c r="A90" s="52"/>
      <c r="C90" s="15"/>
      <c r="D90" s="51"/>
      <c r="E90" s="51"/>
      <c r="F90" s="51"/>
      <c r="G90" s="51"/>
      <c r="H90" s="51"/>
    </row>
    <row r="91" spans="1:8">
      <c r="A91" s="52"/>
      <c r="C91" s="15"/>
      <c r="D91" s="51"/>
      <c r="E91" s="51"/>
      <c r="F91" s="51"/>
      <c r="G91" s="51"/>
      <c r="H91" s="51"/>
    </row>
    <row r="92" spans="1:8">
      <c r="A92" s="52"/>
      <c r="C92" s="15"/>
      <c r="D92" s="51"/>
      <c r="E92" s="51"/>
      <c r="F92" s="51"/>
      <c r="G92" s="51"/>
      <c r="H92" s="51"/>
    </row>
    <row r="93" spans="1:8">
      <c r="A93" s="52"/>
      <c r="C93" s="15"/>
      <c r="D93" s="51"/>
      <c r="E93" s="51"/>
      <c r="F93" s="51"/>
      <c r="G93" s="51"/>
      <c r="H93" s="51"/>
    </row>
    <row r="94" spans="1:8">
      <c r="A94" s="52"/>
      <c r="C94" s="15"/>
      <c r="D94" s="51"/>
      <c r="E94" s="51"/>
      <c r="F94" s="51"/>
      <c r="G94" s="51"/>
      <c r="H94" s="51"/>
    </row>
    <row r="95" spans="1:8">
      <c r="A95" s="52"/>
      <c r="C95" s="15"/>
      <c r="D95" s="51"/>
      <c r="E95" s="51"/>
      <c r="F95" s="51"/>
      <c r="G95" s="51"/>
      <c r="H95" s="51"/>
    </row>
    <row r="96" spans="1:8">
      <c r="A96" s="52"/>
      <c r="C96" s="15"/>
      <c r="D96" s="51"/>
      <c r="E96" s="51"/>
      <c r="F96" s="51"/>
      <c r="G96" s="51"/>
      <c r="H96" s="51"/>
    </row>
    <row r="97" spans="1:8">
      <c r="A97" s="52"/>
      <c r="C97" s="15"/>
      <c r="D97" s="51"/>
      <c r="E97" s="51"/>
      <c r="F97" s="51"/>
      <c r="G97" s="51"/>
      <c r="H97" s="51"/>
    </row>
    <row r="98" spans="1:8">
      <c r="A98" s="52"/>
      <c r="C98" s="15"/>
      <c r="D98" s="51"/>
      <c r="E98" s="51"/>
      <c r="F98" s="51"/>
      <c r="G98" s="51"/>
      <c r="H98" s="51"/>
    </row>
    <row r="99" spans="1:8">
      <c r="A99" s="52"/>
      <c r="C99" s="15"/>
      <c r="D99" s="51"/>
      <c r="E99" s="51"/>
      <c r="F99" s="51"/>
      <c r="G99" s="51"/>
      <c r="H99" s="51"/>
    </row>
    <row r="100" spans="1:8">
      <c r="A100" s="52"/>
      <c r="C100" s="15"/>
      <c r="D100" s="51"/>
      <c r="E100" s="51"/>
      <c r="F100" s="51"/>
      <c r="G100" s="51"/>
      <c r="H100" s="51"/>
    </row>
    <row r="101" spans="1:8">
      <c r="A101" s="52"/>
      <c r="C101" s="15"/>
      <c r="D101" s="51"/>
      <c r="E101" s="51"/>
      <c r="F101" s="51"/>
      <c r="G101" s="51"/>
      <c r="H101" s="51"/>
    </row>
    <row r="102" spans="1:8">
      <c r="A102" s="52"/>
      <c r="C102" s="15"/>
      <c r="D102" s="51"/>
      <c r="E102" s="51"/>
      <c r="F102" s="51"/>
      <c r="G102" s="51"/>
      <c r="H102" s="51"/>
    </row>
    <row r="103" spans="1:8">
      <c r="A103" s="52"/>
      <c r="C103" s="15"/>
      <c r="D103" s="51"/>
      <c r="E103" s="51"/>
      <c r="F103" s="51"/>
      <c r="G103" s="51"/>
      <c r="H103" s="51"/>
    </row>
    <row r="104" spans="1:8">
      <c r="A104" s="52"/>
      <c r="C104" s="15"/>
      <c r="D104" s="51"/>
      <c r="E104" s="51"/>
      <c r="F104" s="51"/>
      <c r="G104" s="51"/>
      <c r="H104" s="51"/>
    </row>
    <row r="105" spans="1:8">
      <c r="A105" s="52"/>
      <c r="C105" s="15"/>
      <c r="D105" s="51"/>
      <c r="E105" s="51"/>
      <c r="F105" s="51"/>
      <c r="G105" s="51"/>
      <c r="H105" s="51"/>
    </row>
    <row r="106" spans="1:8">
      <c r="A106" s="52"/>
      <c r="C106" s="15"/>
      <c r="D106" s="51"/>
      <c r="E106" s="51"/>
      <c r="F106" s="51"/>
      <c r="G106" s="51"/>
      <c r="H106" s="51"/>
    </row>
    <row r="107" spans="1:8">
      <c r="A107" s="52"/>
      <c r="C107" s="15"/>
      <c r="D107" s="51"/>
      <c r="E107" s="51"/>
      <c r="F107" s="51"/>
      <c r="G107" s="51"/>
      <c r="H107" s="51"/>
    </row>
    <row r="108" spans="1:8">
      <c r="A108" s="52"/>
      <c r="C108" s="15"/>
      <c r="D108" s="51"/>
      <c r="E108" s="51"/>
      <c r="F108" s="51"/>
      <c r="G108" s="51"/>
      <c r="H108" s="51"/>
    </row>
    <row r="109" spans="1:8">
      <c r="A109" s="52"/>
      <c r="C109" s="15"/>
      <c r="D109" s="51"/>
      <c r="E109" s="51"/>
      <c r="F109" s="51"/>
      <c r="G109" s="51"/>
      <c r="H109" s="51"/>
    </row>
    <row r="110" spans="1:8">
      <c r="A110" s="52"/>
      <c r="C110" s="15"/>
      <c r="D110" s="51"/>
      <c r="E110" s="51"/>
      <c r="F110" s="51"/>
      <c r="G110" s="51"/>
      <c r="H110" s="51"/>
    </row>
    <row r="111" spans="1:8">
      <c r="A111" s="52"/>
      <c r="C111" s="15"/>
      <c r="D111" s="51"/>
      <c r="E111" s="51"/>
      <c r="F111" s="51"/>
      <c r="G111" s="51"/>
      <c r="H111" s="51"/>
    </row>
    <row r="112" spans="1:8">
      <c r="A112" s="52"/>
      <c r="C112" s="15"/>
      <c r="D112" s="51"/>
      <c r="E112" s="51"/>
      <c r="F112" s="51"/>
      <c r="G112" s="51"/>
      <c r="H112" s="51"/>
    </row>
    <row r="113" spans="1:8">
      <c r="A113" s="52"/>
      <c r="C113" s="15"/>
      <c r="D113" s="51"/>
      <c r="E113" s="51"/>
      <c r="F113" s="51"/>
      <c r="G113" s="51"/>
      <c r="H113" s="51"/>
    </row>
    <row r="114" spans="1:8">
      <c r="A114" s="52"/>
      <c r="C114" s="15"/>
      <c r="D114" s="51"/>
      <c r="E114" s="51"/>
      <c r="F114" s="51"/>
      <c r="G114" s="51"/>
      <c r="H114" s="51"/>
    </row>
    <row r="115" spans="1:8">
      <c r="A115" s="52"/>
      <c r="C115" s="15"/>
      <c r="D115" s="51"/>
      <c r="E115" s="51"/>
      <c r="F115" s="51"/>
      <c r="G115" s="51"/>
      <c r="H115" s="51"/>
    </row>
    <row r="116" spans="1:8">
      <c r="A116" s="52"/>
      <c r="C116" s="15"/>
      <c r="D116" s="51"/>
      <c r="E116" s="51"/>
      <c r="F116" s="51"/>
      <c r="G116" s="51"/>
      <c r="H116" s="51"/>
    </row>
    <row r="117" spans="1:8">
      <c r="A117" s="52"/>
      <c r="C117" s="15"/>
      <c r="D117" s="51"/>
      <c r="E117" s="51"/>
      <c r="F117" s="51"/>
      <c r="G117" s="51"/>
      <c r="H117" s="51"/>
    </row>
    <row r="118" spans="1:8">
      <c r="A118" s="52"/>
      <c r="C118" s="15"/>
      <c r="D118" s="51"/>
      <c r="E118" s="51"/>
      <c r="F118" s="51"/>
      <c r="G118" s="51"/>
      <c r="H118" s="51"/>
    </row>
    <row r="119" spans="1:8">
      <c r="A119" s="52"/>
      <c r="C119" s="15"/>
      <c r="D119" s="51"/>
      <c r="E119" s="51"/>
      <c r="F119" s="51"/>
      <c r="G119" s="51"/>
      <c r="H119" s="51"/>
    </row>
    <row r="120" spans="1:8">
      <c r="A120" s="52"/>
      <c r="C120" s="15"/>
      <c r="D120" s="51"/>
      <c r="E120" s="51"/>
      <c r="F120" s="51"/>
      <c r="G120" s="51"/>
      <c r="H120" s="51"/>
    </row>
    <row r="121" spans="1:8">
      <c r="A121" s="52"/>
      <c r="C121" s="15"/>
      <c r="D121" s="51"/>
      <c r="E121" s="51"/>
      <c r="F121" s="51"/>
      <c r="G121" s="51"/>
      <c r="H121" s="51"/>
    </row>
    <row r="122" spans="1:8">
      <c r="A122" s="52"/>
      <c r="C122" s="15"/>
      <c r="D122" s="51"/>
      <c r="E122" s="51"/>
      <c r="F122" s="51"/>
      <c r="G122" s="51"/>
      <c r="H122" s="51"/>
    </row>
    <row r="123" spans="1:8">
      <c r="A123" s="52"/>
      <c r="C123" s="15"/>
      <c r="D123" s="51"/>
      <c r="E123" s="51"/>
      <c r="F123" s="51"/>
      <c r="G123" s="51"/>
      <c r="H123" s="51"/>
    </row>
    <row r="124" spans="1:8">
      <c r="A124" s="52"/>
      <c r="C124" s="15"/>
      <c r="D124" s="51"/>
      <c r="E124" s="51"/>
      <c r="F124" s="51"/>
      <c r="G124" s="51"/>
      <c r="H124" s="51"/>
    </row>
    <row r="125" spans="1:8">
      <c r="A125" s="53"/>
    </row>
    <row r="126" spans="1:8">
      <c r="A126" s="53"/>
    </row>
    <row r="127" spans="1:8">
      <c r="A127" s="53"/>
    </row>
    <row r="128" spans="1:8">
      <c r="A128" s="53"/>
    </row>
    <row r="129" spans="1:1">
      <c r="A129" s="53"/>
    </row>
    <row r="130" spans="1:1">
      <c r="A130" s="53"/>
    </row>
    <row r="131" spans="1:1">
      <c r="A131" s="53"/>
    </row>
    <row r="132" spans="1:1">
      <c r="A132" s="53"/>
    </row>
    <row r="133" spans="1:1">
      <c r="A133" s="53"/>
    </row>
    <row r="134" spans="1:1">
      <c r="A134" s="53"/>
    </row>
    <row r="135" spans="1:1">
      <c r="A135" s="53"/>
    </row>
    <row r="136" spans="1:1">
      <c r="A136" s="53"/>
    </row>
    <row r="137" spans="1:1">
      <c r="A137" s="53"/>
    </row>
    <row r="138" spans="1:1">
      <c r="A138" s="53"/>
    </row>
    <row r="139" spans="1:1">
      <c r="A139" s="53"/>
    </row>
    <row r="140" spans="1:1">
      <c r="A140" s="53"/>
    </row>
    <row r="141" spans="1:1">
      <c r="A141" s="53"/>
    </row>
    <row r="142" spans="1:1">
      <c r="A142" s="53"/>
    </row>
    <row r="143" spans="1:1">
      <c r="A143" s="53"/>
    </row>
    <row r="144" spans="1:1">
      <c r="A144" s="53"/>
    </row>
    <row r="145" spans="1:1">
      <c r="A145" s="53"/>
    </row>
    <row r="146" spans="1:1">
      <c r="A146" s="53"/>
    </row>
    <row r="147" spans="1:1">
      <c r="A147" s="53"/>
    </row>
    <row r="148" spans="1:1">
      <c r="A148" s="53"/>
    </row>
    <row r="149" spans="1:1">
      <c r="A149" s="53"/>
    </row>
    <row r="150" spans="1:1">
      <c r="A150" s="53"/>
    </row>
    <row r="151" spans="1:1">
      <c r="A151" s="53"/>
    </row>
    <row r="152" spans="1:1">
      <c r="A152" s="53"/>
    </row>
    <row r="153" spans="1:1">
      <c r="A153" s="53"/>
    </row>
    <row r="154" spans="1:1">
      <c r="A154" s="53"/>
    </row>
    <row r="155" spans="1:1">
      <c r="A155" s="53"/>
    </row>
    <row r="156" spans="1:1">
      <c r="A156" s="53"/>
    </row>
    <row r="157" spans="1:1">
      <c r="A157" s="53"/>
    </row>
    <row r="158" spans="1:1">
      <c r="A158" s="53"/>
    </row>
    <row r="159" spans="1:1">
      <c r="A159" s="53"/>
    </row>
    <row r="160" spans="1:1">
      <c r="A160" s="53"/>
    </row>
    <row r="161" spans="1:1">
      <c r="A161" s="53"/>
    </row>
    <row r="162" spans="1:1">
      <c r="A162" s="53"/>
    </row>
    <row r="163" spans="1:1">
      <c r="A163" s="53"/>
    </row>
    <row r="164" spans="1:1">
      <c r="A164" s="53"/>
    </row>
    <row r="165" spans="1:1">
      <c r="A165" s="53"/>
    </row>
    <row r="166" spans="1:1">
      <c r="A166" s="53"/>
    </row>
    <row r="167" spans="1:1">
      <c r="A167" s="53"/>
    </row>
    <row r="168" spans="1:1">
      <c r="A168" s="53"/>
    </row>
    <row r="169" spans="1:1">
      <c r="A169" s="53"/>
    </row>
    <row r="170" spans="1:1">
      <c r="A170" s="53"/>
    </row>
    <row r="171" spans="1:1">
      <c r="A171" s="53"/>
    </row>
    <row r="172" spans="1:1">
      <c r="A172" s="53"/>
    </row>
    <row r="173" spans="1:1">
      <c r="A173" s="53"/>
    </row>
    <row r="174" spans="1:1">
      <c r="A174" s="53"/>
    </row>
    <row r="175" spans="1:1">
      <c r="A175" s="53"/>
    </row>
    <row r="176" spans="1:1">
      <c r="A176" s="53"/>
    </row>
    <row r="177" spans="1:1">
      <c r="A177" s="53"/>
    </row>
    <row r="178" spans="1:1">
      <c r="A178" s="53"/>
    </row>
    <row r="179" spans="1:1">
      <c r="A179" s="53"/>
    </row>
    <row r="180" spans="1:1">
      <c r="A180" s="53"/>
    </row>
    <row r="181" spans="1:1">
      <c r="A181" s="53"/>
    </row>
    <row r="182" spans="1:1">
      <c r="A182" s="53"/>
    </row>
    <row r="183" spans="1:1">
      <c r="A183" s="53"/>
    </row>
    <row r="184" spans="1:1">
      <c r="A184" s="53"/>
    </row>
    <row r="185" spans="1:1">
      <c r="A185" s="53"/>
    </row>
    <row r="186" spans="1:1">
      <c r="A186" s="53"/>
    </row>
    <row r="187" spans="1:1">
      <c r="A187" s="53"/>
    </row>
    <row r="188" spans="1:1">
      <c r="A188" s="53"/>
    </row>
    <row r="189" spans="1:1">
      <c r="A189" s="53"/>
    </row>
    <row r="190" spans="1:1">
      <c r="A190" s="53"/>
    </row>
    <row r="191" spans="1:1">
      <c r="A191" s="53"/>
    </row>
    <row r="192" spans="1:1">
      <c r="A192" s="53"/>
    </row>
    <row r="193" spans="1:1">
      <c r="A193" s="53"/>
    </row>
    <row r="194" spans="1:1">
      <c r="A194" s="53"/>
    </row>
    <row r="195" spans="1:1">
      <c r="A195" s="53"/>
    </row>
    <row r="196" spans="1:1">
      <c r="A196" s="53"/>
    </row>
    <row r="197" spans="1:1">
      <c r="A197" s="53"/>
    </row>
    <row r="198" spans="1:1">
      <c r="A198" s="53"/>
    </row>
    <row r="199" spans="1:1">
      <c r="A199" s="53"/>
    </row>
    <row r="200" spans="1:1">
      <c r="A200" s="53"/>
    </row>
    <row r="201" spans="1:1">
      <c r="A201" s="53"/>
    </row>
    <row r="202" spans="1:1">
      <c r="A202" s="53"/>
    </row>
    <row r="203" spans="1:1">
      <c r="A203" s="53"/>
    </row>
    <row r="204" spans="1:1">
      <c r="A204" s="53"/>
    </row>
    <row r="205" spans="1:1">
      <c r="A205" s="53"/>
    </row>
    <row r="206" spans="1:1">
      <c r="A206" s="53"/>
    </row>
    <row r="207" spans="1:1">
      <c r="A207" s="53"/>
    </row>
    <row r="208" spans="1:1">
      <c r="A208" s="53"/>
    </row>
    <row r="209" spans="1:1">
      <c r="A209" s="53"/>
    </row>
    <row r="210" spans="1:1">
      <c r="A210" s="53"/>
    </row>
    <row r="211" spans="1:1">
      <c r="A211" s="53"/>
    </row>
    <row r="212" spans="1:1">
      <c r="A212" s="53"/>
    </row>
    <row r="213" spans="1:1">
      <c r="A213" s="53"/>
    </row>
    <row r="214" spans="1:1">
      <c r="A214" s="53"/>
    </row>
    <row r="215" spans="1:1">
      <c r="A215" s="53"/>
    </row>
    <row r="216" spans="1:1">
      <c r="A216" s="53"/>
    </row>
    <row r="217" spans="1:1">
      <c r="A217" s="53"/>
    </row>
    <row r="218" spans="1:1">
      <c r="A218" s="53"/>
    </row>
    <row r="219" spans="1:1">
      <c r="A219" s="53"/>
    </row>
    <row r="220" spans="1:1">
      <c r="A220" s="53"/>
    </row>
    <row r="221" spans="1:1">
      <c r="A221" s="53"/>
    </row>
    <row r="222" spans="1:1">
      <c r="A222" s="53"/>
    </row>
    <row r="223" spans="1:1">
      <c r="A223" s="53"/>
    </row>
    <row r="224" spans="1:1">
      <c r="A224" s="53"/>
    </row>
    <row r="225" spans="1:1">
      <c r="A225" s="53"/>
    </row>
    <row r="226" spans="1:1">
      <c r="A226" s="53"/>
    </row>
    <row r="227" spans="1:1">
      <c r="A227" s="53"/>
    </row>
    <row r="228" spans="1:1">
      <c r="A228" s="53"/>
    </row>
    <row r="229" spans="1:1">
      <c r="A229" s="53"/>
    </row>
    <row r="230" spans="1:1">
      <c r="A230" s="53"/>
    </row>
    <row r="231" spans="1:1">
      <c r="A231" s="53"/>
    </row>
    <row r="232" spans="1:1">
      <c r="A232" s="53"/>
    </row>
    <row r="233" spans="1:1">
      <c r="A233" s="53"/>
    </row>
    <row r="234" spans="1:1">
      <c r="A234" s="53"/>
    </row>
    <row r="235" spans="1:1">
      <c r="A235" s="53"/>
    </row>
    <row r="236" spans="1:1">
      <c r="A236" s="53"/>
    </row>
    <row r="237" spans="1:1">
      <c r="A237" s="53"/>
    </row>
    <row r="238" spans="1:1">
      <c r="A238" s="53"/>
    </row>
    <row r="239" spans="1:1">
      <c r="A239" s="53"/>
    </row>
    <row r="240" spans="1:1">
      <c r="A240" s="53"/>
    </row>
    <row r="241" spans="1:1">
      <c r="A241" s="53"/>
    </row>
    <row r="242" spans="1:1">
      <c r="A242" s="53"/>
    </row>
    <row r="243" spans="1:1">
      <c r="A243" s="53"/>
    </row>
    <row r="244" spans="1:1">
      <c r="A244" s="53"/>
    </row>
    <row r="245" spans="1:1">
      <c r="A245" s="53"/>
    </row>
    <row r="246" spans="1:1">
      <c r="A246" s="53"/>
    </row>
    <row r="247" spans="1:1">
      <c r="A247" s="53"/>
    </row>
    <row r="248" spans="1:1">
      <c r="A248" s="53"/>
    </row>
    <row r="249" spans="1:1">
      <c r="A249" s="53"/>
    </row>
    <row r="250" spans="1:1">
      <c r="A250" s="53"/>
    </row>
    <row r="251" spans="1:1">
      <c r="A251" s="53"/>
    </row>
    <row r="252" spans="1:1">
      <c r="A252" s="53"/>
    </row>
    <row r="253" spans="1:1">
      <c r="A253" s="53"/>
    </row>
    <row r="254" spans="1:1">
      <c r="A254" s="53"/>
    </row>
    <row r="255" spans="1:1">
      <c r="A255" s="53"/>
    </row>
    <row r="256" spans="1:1">
      <c r="A256" s="53"/>
    </row>
    <row r="257" spans="1:1">
      <c r="A257" s="53"/>
    </row>
    <row r="258" spans="1:1">
      <c r="A258" s="53"/>
    </row>
    <row r="259" spans="1:1">
      <c r="A259" s="53"/>
    </row>
    <row r="260" spans="1:1">
      <c r="A260" s="53"/>
    </row>
    <row r="261" spans="1:1">
      <c r="A261" s="53"/>
    </row>
    <row r="262" spans="1:1">
      <c r="A262" s="53"/>
    </row>
    <row r="263" spans="1:1">
      <c r="A263" s="53"/>
    </row>
    <row r="264" spans="1:1">
      <c r="A264" s="53"/>
    </row>
    <row r="265" spans="1:1">
      <c r="A265" s="53"/>
    </row>
    <row r="266" spans="1:1">
      <c r="A266" s="53"/>
    </row>
    <row r="267" spans="1:1">
      <c r="A267" s="53"/>
    </row>
    <row r="268" spans="1:1">
      <c r="A268" s="53"/>
    </row>
    <row r="269" spans="1:1">
      <c r="A269" s="53"/>
    </row>
    <row r="270" spans="1:1">
      <c r="A270" s="53"/>
    </row>
    <row r="271" spans="1:1">
      <c r="A271" s="53"/>
    </row>
    <row r="272" spans="1:1">
      <c r="A272" s="53"/>
    </row>
    <row r="273" spans="1:1">
      <c r="A273" s="53"/>
    </row>
    <row r="274" spans="1:1">
      <c r="A274" s="53"/>
    </row>
    <row r="275" spans="1:1">
      <c r="A275" s="53"/>
    </row>
    <row r="276" spans="1:1">
      <c r="A276" s="53"/>
    </row>
    <row r="277" spans="1:1">
      <c r="A277" s="53"/>
    </row>
    <row r="278" spans="1:1">
      <c r="A278" s="53"/>
    </row>
    <row r="279" spans="1:1">
      <c r="A279" s="53"/>
    </row>
    <row r="280" spans="1:1">
      <c r="A280" s="53"/>
    </row>
    <row r="281" spans="1:1">
      <c r="A281" s="53"/>
    </row>
    <row r="282" spans="1:1">
      <c r="A282" s="53"/>
    </row>
    <row r="283" spans="1:1">
      <c r="A283" s="53"/>
    </row>
    <row r="284" spans="1:1">
      <c r="A284" s="53"/>
    </row>
    <row r="285" spans="1:1">
      <c r="A285" s="53"/>
    </row>
    <row r="286" spans="1:1">
      <c r="A286" s="53"/>
    </row>
    <row r="287" spans="1:1">
      <c r="A287" s="53"/>
    </row>
    <row r="288" spans="1:1">
      <c r="A288" s="53"/>
    </row>
    <row r="289" spans="1:1">
      <c r="A289" s="53"/>
    </row>
    <row r="290" spans="1:1">
      <c r="A290" s="53"/>
    </row>
    <row r="291" spans="1:1">
      <c r="A291" s="53"/>
    </row>
  </sheetData>
  <sheetProtection algorithmName="SHA-512" hashValue="/nhy96f0iUDnxMaX0vX/zw+hAJ0aSmJ8NwbuluE8FfS+7JaHhpiSheHSVonyD6/SVR/h2XmPCzhdwMrnPOSVVw==" saltValue="qMOQoHaxalEV1ZZKTsAwWQ==" spinCount="100000" sheet="1" objects="1" scenarios="1" selectLockedCells="1" selectUnlockedCells="1"/>
  <mergeCells count="12">
    <mergeCell ref="G69:I69"/>
    <mergeCell ref="C70:D70"/>
    <mergeCell ref="G70:I70"/>
    <mergeCell ref="A1:H1"/>
    <mergeCell ref="A3:A4"/>
    <mergeCell ref="B3:B4"/>
    <mergeCell ref="C3:C4"/>
    <mergeCell ref="D3:D4"/>
    <mergeCell ref="E3:E4"/>
    <mergeCell ref="F3:F4"/>
    <mergeCell ref="G3:J3"/>
    <mergeCell ref="C69:E69"/>
  </mergeCells>
  <pageMargins left="0.59055118110236227" right="0.59055118110236227" top="0.98425196850393704" bottom="0.59055118110236227" header="0.19685039370078741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4"/>
  <sheetViews>
    <sheetView view="pageBreakPreview" topLeftCell="A4" zoomScale="64" zoomScaleNormal="75" zoomScaleSheetLayoutView="64" workbookViewId="0">
      <selection activeCell="A7" sqref="A7:XFD13"/>
    </sheetView>
  </sheetViews>
  <sheetFormatPr defaultColWidth="9.109375" defaultRowHeight="21"/>
  <cols>
    <col min="1" max="1" width="72.6640625" style="18" customWidth="1"/>
    <col min="2" max="2" width="18.44140625" style="19" customWidth="1"/>
    <col min="3" max="3" width="19.5546875" style="19" customWidth="1"/>
    <col min="4" max="4" width="20" style="19" customWidth="1"/>
    <col min="5" max="5" width="20.88671875" style="19" customWidth="1"/>
    <col min="6" max="6" width="18.44140625" style="18" customWidth="1"/>
    <col min="7" max="10" width="17.88671875" style="18" customWidth="1"/>
    <col min="11" max="11" width="9.5546875" style="18" customWidth="1"/>
    <col min="12" max="12" width="9.88671875" style="18" customWidth="1"/>
    <col min="13" max="16384" width="9.109375" style="18"/>
  </cols>
  <sheetData>
    <row r="1" spans="1:11" ht="30.75" customHeight="1">
      <c r="J1" s="28" t="s">
        <v>351</v>
      </c>
    </row>
    <row r="2" spans="1:11" ht="39" customHeight="1">
      <c r="A2" s="497" t="s">
        <v>143</v>
      </c>
      <c r="B2" s="497"/>
      <c r="C2" s="497"/>
      <c r="D2" s="497"/>
      <c r="E2" s="497"/>
      <c r="F2" s="497"/>
      <c r="G2" s="497"/>
      <c r="H2" s="497"/>
      <c r="I2" s="497"/>
      <c r="J2" s="497"/>
    </row>
    <row r="3" spans="1:11" ht="35.25" customHeight="1">
      <c r="A3" s="544" t="s">
        <v>392</v>
      </c>
      <c r="B3" s="544"/>
      <c r="C3" s="544"/>
      <c r="D3" s="544"/>
      <c r="E3" s="544"/>
      <c r="F3" s="544"/>
      <c r="G3" s="544"/>
      <c r="H3" s="544"/>
      <c r="I3" s="544"/>
      <c r="J3" s="544"/>
    </row>
    <row r="4" spans="1:11" ht="43.5" customHeight="1">
      <c r="A4" s="494" t="s">
        <v>164</v>
      </c>
      <c r="B4" s="492" t="s">
        <v>17</v>
      </c>
      <c r="C4" s="542" t="s">
        <v>631</v>
      </c>
      <c r="D4" s="542" t="s">
        <v>632</v>
      </c>
      <c r="E4" s="546" t="s">
        <v>633</v>
      </c>
      <c r="F4" s="545" t="s">
        <v>634</v>
      </c>
      <c r="G4" s="545" t="s">
        <v>329</v>
      </c>
      <c r="H4" s="545"/>
      <c r="I4" s="545"/>
      <c r="J4" s="545"/>
    </row>
    <row r="5" spans="1:11" ht="86.25" customHeight="1">
      <c r="A5" s="494"/>
      <c r="B5" s="492"/>
      <c r="C5" s="543"/>
      <c r="D5" s="543"/>
      <c r="E5" s="547"/>
      <c r="F5" s="545"/>
      <c r="G5" s="237" t="s">
        <v>126</v>
      </c>
      <c r="H5" s="237" t="s">
        <v>127</v>
      </c>
      <c r="I5" s="237" t="s">
        <v>128</v>
      </c>
      <c r="J5" s="237" t="s">
        <v>63</v>
      </c>
    </row>
    <row r="6" spans="1:11" ht="51.75" customHeight="1">
      <c r="A6" s="24">
        <v>1</v>
      </c>
      <c r="B6" s="25">
        <v>2</v>
      </c>
      <c r="C6" s="160">
        <v>3</v>
      </c>
      <c r="D6" s="160">
        <v>4</v>
      </c>
      <c r="E6" s="160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</row>
    <row r="7" spans="1:11" s="415" customFormat="1" ht="56.25" customHeight="1">
      <c r="A7" s="469" t="s">
        <v>73</v>
      </c>
      <c r="B7" s="470">
        <v>4000</v>
      </c>
      <c r="C7" s="233">
        <f>SUM(C8:C13)</f>
        <v>1455</v>
      </c>
      <c r="D7" s="233">
        <f t="shared" ref="D7:E7" si="0">SUM(D8:D13)</f>
        <v>120</v>
      </c>
      <c r="E7" s="233">
        <f t="shared" si="0"/>
        <v>120</v>
      </c>
      <c r="F7" s="233">
        <f t="shared" ref="F7:F13" si="1">SUM(G7:J7)</f>
        <v>19827</v>
      </c>
      <c r="G7" s="233">
        <f t="shared" ref="G7" si="2">SUM(G8:G13)</f>
        <v>20</v>
      </c>
      <c r="H7" s="233">
        <f t="shared" ref="H7" si="3">SUM(H8:H13)</f>
        <v>19767</v>
      </c>
      <c r="I7" s="233">
        <f t="shared" ref="I7" si="4">SUM(I8:I13)</f>
        <v>20</v>
      </c>
      <c r="J7" s="233">
        <f t="shared" ref="J7" si="5">SUM(J8:J13)</f>
        <v>20</v>
      </c>
    </row>
    <row r="8" spans="1:11" s="358" customFormat="1" ht="49.5" customHeight="1">
      <c r="A8" s="265" t="s">
        <v>1</v>
      </c>
      <c r="B8" s="471" t="s">
        <v>147</v>
      </c>
      <c r="C8" s="232"/>
      <c r="D8" s="232"/>
      <c r="E8" s="232"/>
      <c r="F8" s="232">
        <f t="shared" si="1"/>
        <v>0</v>
      </c>
      <c r="G8" s="232"/>
      <c r="H8" s="232"/>
      <c r="I8" s="232"/>
      <c r="J8" s="232"/>
    </row>
    <row r="9" spans="1:11" s="358" customFormat="1" ht="57" customHeight="1">
      <c r="A9" s="265" t="s">
        <v>2</v>
      </c>
      <c r="B9" s="471">
        <v>4020</v>
      </c>
      <c r="C9" s="232">
        <f>'Розшифровка кап'!C10</f>
        <v>582</v>
      </c>
      <c r="D9" s="232">
        <f>'Розшифровка кап'!D10</f>
        <v>100</v>
      </c>
      <c r="E9" s="232">
        <f>'Розшифровка кап'!E10</f>
        <v>100</v>
      </c>
      <c r="F9" s="232">
        <f t="shared" si="1"/>
        <v>19747</v>
      </c>
      <c r="G9" s="232">
        <f>'Розшифровка кап'!G10</f>
        <v>0</v>
      </c>
      <c r="H9" s="232">
        <f>'Розшифровка кап'!H10</f>
        <v>19747</v>
      </c>
      <c r="I9" s="232">
        <f>'Розшифровка кап'!I10</f>
        <v>0</v>
      </c>
      <c r="J9" s="232">
        <f>'Розшифровка кап'!J10</f>
        <v>0</v>
      </c>
    </row>
    <row r="10" spans="1:11" s="358" customFormat="1" ht="63" customHeight="1">
      <c r="A10" s="265" t="s">
        <v>27</v>
      </c>
      <c r="B10" s="471">
        <v>4030</v>
      </c>
      <c r="C10" s="232">
        <f>'Розшифровка кап'!C20</f>
        <v>846</v>
      </c>
      <c r="D10" s="232">
        <f>'Розшифровка кап'!D20</f>
        <v>20</v>
      </c>
      <c r="E10" s="232">
        <f>'Розшифровка кап'!E20</f>
        <v>20</v>
      </c>
      <c r="F10" s="232">
        <f t="shared" si="1"/>
        <v>80</v>
      </c>
      <c r="G10" s="232">
        <f>'Розшифровка кап'!G20</f>
        <v>20</v>
      </c>
      <c r="H10" s="232">
        <f>'Розшифровка кап'!H20</f>
        <v>20</v>
      </c>
      <c r="I10" s="232">
        <f>'Розшифровка кап'!I20</f>
        <v>20</v>
      </c>
      <c r="J10" s="232">
        <f>'Розшифровка кап'!J20</f>
        <v>20</v>
      </c>
    </row>
    <row r="11" spans="1:11" s="358" customFormat="1" ht="57" customHeight="1">
      <c r="A11" s="265" t="s">
        <v>3</v>
      </c>
      <c r="B11" s="471">
        <v>4040</v>
      </c>
      <c r="C11" s="232"/>
      <c r="D11" s="232"/>
      <c r="E11" s="232"/>
      <c r="F11" s="232">
        <f t="shared" si="1"/>
        <v>0</v>
      </c>
      <c r="G11" s="232"/>
      <c r="H11" s="232"/>
      <c r="I11" s="232"/>
      <c r="J11" s="232"/>
    </row>
    <row r="12" spans="1:11" s="358" customFormat="1" ht="57" customHeight="1">
      <c r="A12" s="265" t="s">
        <v>59</v>
      </c>
      <c r="B12" s="471">
        <v>4050</v>
      </c>
      <c r="C12" s="232">
        <f>'Розшифровка кап'!C26</f>
        <v>27</v>
      </c>
      <c r="D12" s="232">
        <f>'Розшифровка кап'!D26</f>
        <v>0</v>
      </c>
      <c r="E12" s="232">
        <f>'Розшифровка кап'!E26</f>
        <v>0</v>
      </c>
      <c r="F12" s="232">
        <f t="shared" si="1"/>
        <v>0</v>
      </c>
      <c r="G12" s="232">
        <f>'Розшифровка кап'!G26</f>
        <v>0</v>
      </c>
      <c r="H12" s="232">
        <f>'Розшифровка кап'!H26</f>
        <v>0</v>
      </c>
      <c r="I12" s="232">
        <f>'Розшифровка кап'!I26</f>
        <v>0</v>
      </c>
      <c r="J12" s="232">
        <f>'Розшифровка кап'!J26</f>
        <v>0</v>
      </c>
    </row>
    <row r="13" spans="1:11" s="358" customFormat="1" ht="57" customHeight="1">
      <c r="A13" s="265" t="s">
        <v>268</v>
      </c>
      <c r="B13" s="471">
        <v>4060</v>
      </c>
      <c r="C13" s="232"/>
      <c r="D13" s="232"/>
      <c r="E13" s="232"/>
      <c r="F13" s="232">
        <f t="shared" si="1"/>
        <v>0</v>
      </c>
      <c r="G13" s="232"/>
      <c r="H13" s="232"/>
      <c r="I13" s="232"/>
      <c r="J13" s="232"/>
    </row>
    <row r="14" spans="1:11" ht="20.100000000000001" customHeight="1">
      <c r="A14" s="17"/>
      <c r="B14" s="17"/>
      <c r="C14" s="17"/>
      <c r="D14" s="17"/>
      <c r="E14" s="17"/>
      <c r="F14" s="34"/>
      <c r="G14" s="34"/>
      <c r="H14" s="34"/>
      <c r="I14" s="34"/>
      <c r="J14" s="34"/>
    </row>
    <row r="15" spans="1:11" ht="20.100000000000001" customHeight="1">
      <c r="A15" s="17"/>
      <c r="B15" s="17"/>
      <c r="C15" s="17"/>
      <c r="D15" s="17"/>
      <c r="E15" s="17"/>
      <c r="F15" s="226"/>
      <c r="G15" s="34"/>
      <c r="H15" s="34"/>
      <c r="I15" s="34"/>
      <c r="J15" s="34"/>
    </row>
    <row r="16" spans="1:11" s="29" customFormat="1" ht="20.100000000000001" customHeight="1">
      <c r="A16" s="20"/>
      <c r="B16" s="21"/>
      <c r="C16" s="17"/>
      <c r="D16" s="17"/>
      <c r="E16" s="17"/>
      <c r="F16" s="17"/>
      <c r="G16" s="17"/>
      <c r="H16" s="17"/>
      <c r="I16" s="17"/>
      <c r="J16" s="17"/>
      <c r="K16" s="18"/>
    </row>
    <row r="17" spans="1:10" s="166" customFormat="1" ht="39" customHeight="1">
      <c r="A17" s="163" t="s">
        <v>519</v>
      </c>
      <c r="B17" s="30"/>
      <c r="C17" s="548" t="s">
        <v>84</v>
      </c>
      <c r="D17" s="549"/>
      <c r="E17" s="549"/>
      <c r="F17" s="549"/>
      <c r="G17" s="164"/>
      <c r="H17" s="515" t="s">
        <v>657</v>
      </c>
      <c r="I17" s="515"/>
      <c r="J17" s="515"/>
    </row>
    <row r="18" spans="1:10" s="170" customFormat="1" ht="46.5" customHeight="1">
      <c r="A18" s="167" t="s">
        <v>68</v>
      </c>
      <c r="B18" s="168"/>
      <c r="C18" s="550" t="s">
        <v>69</v>
      </c>
      <c r="D18" s="550"/>
      <c r="E18" s="550"/>
      <c r="F18" s="550"/>
      <c r="G18" s="169"/>
      <c r="H18" s="551" t="s">
        <v>82</v>
      </c>
      <c r="I18" s="551"/>
      <c r="J18" s="551"/>
    </row>
    <row r="19" spans="1:10">
      <c r="A19" s="27"/>
    </row>
    <row r="20" spans="1:10">
      <c r="A20" s="27"/>
    </row>
    <row r="21" spans="1:10">
      <c r="A21" s="27"/>
    </row>
    <row r="22" spans="1:10">
      <c r="A22" s="27"/>
    </row>
    <row r="23" spans="1:10">
      <c r="A23" s="27"/>
    </row>
    <row r="24" spans="1:10">
      <c r="A24" s="27"/>
    </row>
    <row r="25" spans="1:10">
      <c r="A25" s="27"/>
    </row>
    <row r="26" spans="1:10">
      <c r="A26" s="27"/>
    </row>
    <row r="27" spans="1:10">
      <c r="A27" s="27"/>
    </row>
    <row r="28" spans="1:10">
      <c r="A28" s="27"/>
    </row>
    <row r="29" spans="1:10">
      <c r="A29" s="27"/>
    </row>
    <row r="30" spans="1:10">
      <c r="A30" s="27"/>
    </row>
    <row r="31" spans="1:10">
      <c r="A31" s="27"/>
    </row>
    <row r="32" spans="1:10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  <row r="134" spans="1:1">
      <c r="A134" s="27"/>
    </row>
    <row r="135" spans="1:1">
      <c r="A135" s="27"/>
    </row>
    <row r="136" spans="1:1">
      <c r="A136" s="27"/>
    </row>
    <row r="137" spans="1:1">
      <c r="A137" s="27"/>
    </row>
    <row r="138" spans="1:1">
      <c r="A138" s="27"/>
    </row>
    <row r="139" spans="1:1">
      <c r="A139" s="27"/>
    </row>
    <row r="140" spans="1:1">
      <c r="A140" s="27"/>
    </row>
    <row r="141" spans="1:1">
      <c r="A141" s="27"/>
    </row>
    <row r="142" spans="1:1">
      <c r="A142" s="27"/>
    </row>
    <row r="143" spans="1:1">
      <c r="A143" s="27"/>
    </row>
    <row r="144" spans="1:1">
      <c r="A144" s="27"/>
    </row>
    <row r="145" spans="1:1">
      <c r="A145" s="27"/>
    </row>
    <row r="146" spans="1:1">
      <c r="A146" s="27"/>
    </row>
    <row r="147" spans="1:1">
      <c r="A147" s="27"/>
    </row>
    <row r="148" spans="1:1">
      <c r="A148" s="27"/>
    </row>
    <row r="149" spans="1:1">
      <c r="A149" s="27"/>
    </row>
    <row r="150" spans="1:1">
      <c r="A150" s="27"/>
    </row>
    <row r="151" spans="1:1">
      <c r="A151" s="27"/>
    </row>
    <row r="152" spans="1:1">
      <c r="A152" s="27"/>
    </row>
    <row r="153" spans="1:1">
      <c r="A153" s="27"/>
    </row>
    <row r="154" spans="1:1">
      <c r="A154" s="27"/>
    </row>
    <row r="155" spans="1:1">
      <c r="A155" s="27"/>
    </row>
    <row r="156" spans="1:1">
      <c r="A156" s="27"/>
    </row>
    <row r="157" spans="1:1">
      <c r="A157" s="27"/>
    </row>
    <row r="158" spans="1:1">
      <c r="A158" s="27"/>
    </row>
    <row r="159" spans="1:1">
      <c r="A159" s="27"/>
    </row>
    <row r="160" spans="1:1">
      <c r="A160" s="27"/>
    </row>
    <row r="161" spans="1:1">
      <c r="A161" s="27"/>
    </row>
    <row r="162" spans="1:1">
      <c r="A162" s="27"/>
    </row>
    <row r="163" spans="1:1">
      <c r="A163" s="27"/>
    </row>
    <row r="164" spans="1:1">
      <c r="A164" s="27"/>
    </row>
    <row r="165" spans="1:1">
      <c r="A165" s="27"/>
    </row>
    <row r="166" spans="1:1">
      <c r="A166" s="27"/>
    </row>
    <row r="167" spans="1:1">
      <c r="A167" s="27"/>
    </row>
    <row r="168" spans="1:1">
      <c r="A168" s="27"/>
    </row>
    <row r="169" spans="1:1">
      <c r="A169" s="27"/>
    </row>
    <row r="170" spans="1:1">
      <c r="A170" s="27"/>
    </row>
    <row r="171" spans="1:1">
      <c r="A171" s="27"/>
    </row>
    <row r="172" spans="1:1">
      <c r="A172" s="27"/>
    </row>
    <row r="173" spans="1:1">
      <c r="A173" s="27"/>
    </row>
    <row r="174" spans="1:1">
      <c r="A174" s="27"/>
    </row>
    <row r="175" spans="1:1">
      <c r="A175" s="27"/>
    </row>
    <row r="176" spans="1:1">
      <c r="A176" s="27"/>
    </row>
    <row r="177" spans="1:1">
      <c r="A177" s="27"/>
    </row>
    <row r="178" spans="1:1">
      <c r="A178" s="27"/>
    </row>
    <row r="179" spans="1:1">
      <c r="A179" s="27"/>
    </row>
    <row r="180" spans="1:1">
      <c r="A180" s="27"/>
    </row>
    <row r="181" spans="1:1">
      <c r="A181" s="27"/>
    </row>
    <row r="182" spans="1:1">
      <c r="A182" s="27"/>
    </row>
    <row r="183" spans="1:1">
      <c r="A183" s="27"/>
    </row>
    <row r="184" spans="1:1">
      <c r="A184" s="27"/>
    </row>
  </sheetData>
  <sheetProtection algorithmName="SHA-512" hashValue="ZPDvyewLTM7SQnF8DysVjJfIqKPGHs1Xhiln8mtlaZ/D9EstzNddJjGtkdZ87Y8dBVuZ0PnBpHf6nXEWUoG7tw==" saltValue="hFdEQjCqOgnmO+20m66ftQ==" spinCount="100000" sheet="1" objects="1" scenarios="1" selectLockedCells="1" selectUnlockedCells="1"/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ageMargins left="0.59055118110236227" right="0.59055118110236227" top="0.98425196850393704" bottom="0.59055118110236227" header="0.19685039370078741" footer="0.31496062992125984"/>
  <pageSetup paperSize="9" scale="56" firstPageNumber="9" orientation="landscape" useFirstPageNumber="1" r:id="rId1"/>
  <headerFooter alignWithMargins="0"/>
  <ignoredErrors>
    <ignoredError sqref="B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57"/>
  <sheetViews>
    <sheetView view="pageBreakPreview" zoomScale="75" zoomScaleNormal="100" zoomScaleSheetLayoutView="75" workbookViewId="0">
      <selection activeCell="A7" sqref="A7:XFD20"/>
    </sheetView>
  </sheetViews>
  <sheetFormatPr defaultColWidth="9.109375" defaultRowHeight="18"/>
  <cols>
    <col min="1" max="1" width="67.6640625" style="1" customWidth="1"/>
    <col min="2" max="2" width="15.109375" style="14" customWidth="1"/>
    <col min="3" max="3" width="17.88671875" style="14" customWidth="1"/>
    <col min="4" max="4" width="17.5546875" style="14" customWidth="1"/>
    <col min="5" max="5" width="18.33203125" style="14" customWidth="1"/>
    <col min="6" max="6" width="16.109375" style="14" customWidth="1"/>
    <col min="7" max="10" width="14.44140625" style="1" customWidth="1"/>
    <col min="11" max="16384" width="9.109375" style="1"/>
  </cols>
  <sheetData>
    <row r="2" spans="1:10" ht="24.75" customHeight="1">
      <c r="A2" s="553" t="s">
        <v>411</v>
      </c>
      <c r="B2" s="553"/>
      <c r="C2" s="553"/>
      <c r="D2" s="553"/>
      <c r="E2" s="553"/>
      <c r="F2" s="553"/>
      <c r="G2" s="553"/>
      <c r="H2" s="553"/>
    </row>
    <row r="3" spans="1:10" ht="18.75" customHeight="1">
      <c r="A3" s="248"/>
      <c r="B3" s="50"/>
      <c r="C3" s="248"/>
      <c r="D3" s="248"/>
      <c r="E3" s="248"/>
      <c r="F3" s="50"/>
      <c r="G3" s="248"/>
      <c r="H3" s="248"/>
      <c r="I3" s="561" t="s">
        <v>316</v>
      </c>
      <c r="J3" s="561"/>
    </row>
    <row r="4" spans="1:10" ht="41.25" customHeight="1">
      <c r="A4" s="554" t="s">
        <v>164</v>
      </c>
      <c r="B4" s="556" t="s">
        <v>17</v>
      </c>
      <c r="C4" s="556" t="s">
        <v>631</v>
      </c>
      <c r="D4" s="556" t="s">
        <v>632</v>
      </c>
      <c r="E4" s="558" t="s">
        <v>633</v>
      </c>
      <c r="F4" s="560" t="s">
        <v>634</v>
      </c>
      <c r="G4" s="560" t="s">
        <v>329</v>
      </c>
      <c r="H4" s="560"/>
      <c r="I4" s="560"/>
      <c r="J4" s="560"/>
    </row>
    <row r="5" spans="1:10" ht="67.5" customHeight="1">
      <c r="A5" s="555"/>
      <c r="B5" s="557"/>
      <c r="C5" s="557"/>
      <c r="D5" s="557"/>
      <c r="E5" s="559"/>
      <c r="F5" s="560"/>
      <c r="G5" s="336" t="s">
        <v>126</v>
      </c>
      <c r="H5" s="336" t="s">
        <v>127</v>
      </c>
      <c r="I5" s="336" t="s">
        <v>128</v>
      </c>
      <c r="J5" s="336" t="s">
        <v>63</v>
      </c>
    </row>
    <row r="6" spans="1:10" ht="23.25" customHeight="1">
      <c r="A6" s="337">
        <v>1</v>
      </c>
      <c r="B6" s="338">
        <v>2</v>
      </c>
      <c r="C6" s="338">
        <v>3</v>
      </c>
      <c r="D6" s="338">
        <v>4</v>
      </c>
      <c r="E6" s="338">
        <v>5</v>
      </c>
      <c r="F6" s="338">
        <v>6</v>
      </c>
      <c r="G6" s="338">
        <v>7</v>
      </c>
      <c r="H6" s="338">
        <v>8</v>
      </c>
      <c r="I6" s="337">
        <v>9</v>
      </c>
      <c r="J6" s="337">
        <v>10</v>
      </c>
    </row>
    <row r="7" spans="1:10" ht="41.25" customHeight="1">
      <c r="A7" s="339" t="s">
        <v>73</v>
      </c>
      <c r="B7" s="340">
        <v>4000</v>
      </c>
      <c r="C7" s="341">
        <f>C8+C10+C20+C24+C26+C32</f>
        <v>1455</v>
      </c>
      <c r="D7" s="341">
        <f>D8+D10+D20+D24+D26+D32</f>
        <v>120</v>
      </c>
      <c r="E7" s="341">
        <f>E8+E10+E20+E24+E26+E32</f>
        <v>120</v>
      </c>
      <c r="F7" s="341">
        <f t="shared" ref="F7:F10" si="0">SUM(G7:J7)</f>
        <v>19827</v>
      </c>
      <c r="G7" s="341">
        <f t="shared" ref="G7:J7" si="1">G8+G10+G20+G24+G26+G32</f>
        <v>20</v>
      </c>
      <c r="H7" s="341">
        <f t="shared" si="1"/>
        <v>19767</v>
      </c>
      <c r="I7" s="341">
        <f t="shared" si="1"/>
        <v>20</v>
      </c>
      <c r="J7" s="341">
        <f t="shared" si="1"/>
        <v>20</v>
      </c>
    </row>
    <row r="8" spans="1:10" ht="33" hidden="1" customHeight="1">
      <c r="A8" s="339" t="s">
        <v>1</v>
      </c>
      <c r="B8" s="340">
        <v>4010</v>
      </c>
      <c r="C8" s="341">
        <f>C9</f>
        <v>0</v>
      </c>
      <c r="D8" s="341">
        <f>D9</f>
        <v>0</v>
      </c>
      <c r="E8" s="341">
        <f t="shared" ref="E8:E32" si="2">D8</f>
        <v>0</v>
      </c>
      <c r="F8" s="341">
        <f t="shared" si="0"/>
        <v>0</v>
      </c>
      <c r="G8" s="341">
        <f>G9</f>
        <v>0</v>
      </c>
      <c r="H8" s="341">
        <f>H9</f>
        <v>0</v>
      </c>
      <c r="I8" s="341">
        <f>I9</f>
        <v>0</v>
      </c>
      <c r="J8" s="341">
        <f>J9</f>
        <v>0</v>
      </c>
    </row>
    <row r="9" spans="1:10" ht="9" hidden="1" customHeight="1">
      <c r="A9" s="342"/>
      <c r="B9" s="340"/>
      <c r="C9" s="343"/>
      <c r="D9" s="343">
        <v>0</v>
      </c>
      <c r="E9" s="343">
        <f t="shared" si="2"/>
        <v>0</v>
      </c>
      <c r="F9" s="343">
        <f t="shared" si="0"/>
        <v>0</v>
      </c>
      <c r="G9" s="343"/>
      <c r="H9" s="343"/>
      <c r="I9" s="344"/>
      <c r="J9" s="344"/>
    </row>
    <row r="10" spans="1:10" s="306" customFormat="1" ht="34.5" customHeight="1">
      <c r="A10" s="339" t="s">
        <v>2</v>
      </c>
      <c r="B10" s="345">
        <v>4020</v>
      </c>
      <c r="C10" s="341">
        <f>SUM(C11:C19)</f>
        <v>582</v>
      </c>
      <c r="D10" s="341">
        <f t="shared" ref="D10:E10" si="3">SUM(D11:D19)</f>
        <v>100</v>
      </c>
      <c r="E10" s="341">
        <f t="shared" si="3"/>
        <v>100</v>
      </c>
      <c r="F10" s="341">
        <f t="shared" si="0"/>
        <v>19747</v>
      </c>
      <c r="G10" s="341">
        <f>SUM(G11:G19)</f>
        <v>0</v>
      </c>
      <c r="H10" s="341">
        <f>SUM(H11:H19)</f>
        <v>19747</v>
      </c>
      <c r="I10" s="341">
        <f>SUM(I11:I19)</f>
        <v>0</v>
      </c>
      <c r="J10" s="341">
        <f>SUM(J11:J19)</f>
        <v>0</v>
      </c>
    </row>
    <row r="11" spans="1:10" s="306" customFormat="1" ht="25.5" customHeight="1">
      <c r="A11" s="346" t="s">
        <v>628</v>
      </c>
      <c r="B11" s="345"/>
      <c r="C11" s="343"/>
      <c r="D11" s="343">
        <v>100</v>
      </c>
      <c r="E11" s="343">
        <v>100</v>
      </c>
      <c r="F11" s="343">
        <f t="shared" ref="F11:F28" si="4">SUM(G11:J11)</f>
        <v>0</v>
      </c>
      <c r="G11" s="343"/>
      <c r="H11" s="343"/>
      <c r="I11" s="343"/>
      <c r="J11" s="343"/>
    </row>
    <row r="12" spans="1:10" s="306" customFormat="1" ht="25.5" customHeight="1">
      <c r="A12" s="342" t="s">
        <v>639</v>
      </c>
      <c r="B12" s="345"/>
      <c r="C12" s="343">
        <v>582</v>
      </c>
      <c r="D12" s="343"/>
      <c r="E12" s="343"/>
      <c r="F12" s="343">
        <f t="shared" si="4"/>
        <v>0</v>
      </c>
      <c r="G12" s="343"/>
      <c r="H12" s="343"/>
      <c r="I12" s="344"/>
      <c r="J12" s="344"/>
    </row>
    <row r="13" spans="1:10" s="306" customFormat="1" ht="21.75" hidden="1" customHeight="1">
      <c r="A13" s="342" t="s">
        <v>434</v>
      </c>
      <c r="B13" s="345"/>
      <c r="C13" s="343"/>
      <c r="D13" s="343"/>
      <c r="E13" s="343">
        <f t="shared" si="2"/>
        <v>0</v>
      </c>
      <c r="F13" s="343">
        <f t="shared" si="4"/>
        <v>0</v>
      </c>
      <c r="G13" s="343"/>
      <c r="H13" s="343"/>
      <c r="I13" s="344"/>
      <c r="J13" s="344"/>
    </row>
    <row r="14" spans="1:10" s="306" customFormat="1" ht="21.75" hidden="1" customHeight="1">
      <c r="A14" s="347" t="s">
        <v>435</v>
      </c>
      <c r="B14" s="345"/>
      <c r="C14" s="343"/>
      <c r="D14" s="343"/>
      <c r="E14" s="343">
        <f t="shared" si="2"/>
        <v>0</v>
      </c>
      <c r="F14" s="343">
        <f t="shared" si="4"/>
        <v>0</v>
      </c>
      <c r="G14" s="343"/>
      <c r="H14" s="343"/>
      <c r="I14" s="344"/>
      <c r="J14" s="344"/>
    </row>
    <row r="15" spans="1:10" s="306" customFormat="1" ht="21.75" hidden="1" customHeight="1">
      <c r="A15" s="342" t="s">
        <v>607</v>
      </c>
      <c r="B15" s="345"/>
      <c r="C15" s="343"/>
      <c r="D15" s="343"/>
      <c r="E15" s="343">
        <f t="shared" si="2"/>
        <v>0</v>
      </c>
      <c r="F15" s="343">
        <f t="shared" si="4"/>
        <v>0</v>
      </c>
      <c r="G15" s="343"/>
      <c r="H15" s="343"/>
      <c r="I15" s="344"/>
      <c r="J15" s="344"/>
    </row>
    <row r="16" spans="1:10" s="306" customFormat="1" ht="21.75" hidden="1" customHeight="1">
      <c r="A16" s="342" t="s">
        <v>608</v>
      </c>
      <c r="B16" s="345"/>
      <c r="C16" s="343"/>
      <c r="D16" s="343"/>
      <c r="E16" s="343">
        <f t="shared" si="2"/>
        <v>0</v>
      </c>
      <c r="F16" s="343">
        <f t="shared" si="4"/>
        <v>0</v>
      </c>
      <c r="G16" s="343"/>
      <c r="H16" s="343"/>
      <c r="I16" s="344"/>
      <c r="J16" s="344"/>
    </row>
    <row r="17" spans="1:10" s="306" customFormat="1" ht="21.75" hidden="1" customHeight="1">
      <c r="A17" s="342" t="s">
        <v>559</v>
      </c>
      <c r="B17" s="345"/>
      <c r="C17" s="343"/>
      <c r="D17" s="343"/>
      <c r="E17" s="343">
        <f t="shared" si="2"/>
        <v>0</v>
      </c>
      <c r="F17" s="343">
        <f t="shared" si="4"/>
        <v>0</v>
      </c>
      <c r="G17" s="343"/>
      <c r="H17" s="343"/>
      <c r="I17" s="344"/>
      <c r="J17" s="344"/>
    </row>
    <row r="18" spans="1:10" s="306" customFormat="1" ht="21.75" customHeight="1">
      <c r="A18" s="342" t="s">
        <v>677</v>
      </c>
      <c r="B18" s="345"/>
      <c r="C18" s="343"/>
      <c r="D18" s="343">
        <v>0</v>
      </c>
      <c r="E18" s="343">
        <f t="shared" si="2"/>
        <v>0</v>
      </c>
      <c r="F18" s="343">
        <f t="shared" si="4"/>
        <v>19747</v>
      </c>
      <c r="G18" s="343"/>
      <c r="H18" s="343">
        <v>19747</v>
      </c>
      <c r="I18" s="344"/>
      <c r="J18" s="344"/>
    </row>
    <row r="19" spans="1:10" s="306" customFormat="1" ht="21.75" hidden="1" customHeight="1">
      <c r="A19" s="342" t="s">
        <v>560</v>
      </c>
      <c r="B19" s="345"/>
      <c r="C19" s="343"/>
      <c r="D19" s="343">
        <v>0</v>
      </c>
      <c r="E19" s="343">
        <f t="shared" si="2"/>
        <v>0</v>
      </c>
      <c r="F19" s="343">
        <f t="shared" si="4"/>
        <v>0</v>
      </c>
      <c r="G19" s="343"/>
      <c r="H19" s="343"/>
      <c r="I19" s="344"/>
      <c r="J19" s="344"/>
    </row>
    <row r="20" spans="1:10" s="306" customFormat="1" ht="42" customHeight="1">
      <c r="A20" s="339" t="s">
        <v>27</v>
      </c>
      <c r="B20" s="345">
        <v>4030</v>
      </c>
      <c r="C20" s="341">
        <f>SUM(C22:C23)</f>
        <v>846</v>
      </c>
      <c r="D20" s="341">
        <f t="shared" ref="D20:J20" si="5">SUM(D22:D23)</f>
        <v>20</v>
      </c>
      <c r="E20" s="341">
        <f t="shared" si="5"/>
        <v>20</v>
      </c>
      <c r="F20" s="341">
        <f t="shared" si="4"/>
        <v>80</v>
      </c>
      <c r="G20" s="341">
        <f t="shared" si="5"/>
        <v>20</v>
      </c>
      <c r="H20" s="341">
        <f t="shared" si="5"/>
        <v>20</v>
      </c>
      <c r="I20" s="341">
        <f t="shared" si="5"/>
        <v>20</v>
      </c>
      <c r="J20" s="341">
        <f t="shared" si="5"/>
        <v>20</v>
      </c>
    </row>
    <row r="21" spans="1:10" s="306" customFormat="1" ht="25.5" hidden="1" customHeight="1">
      <c r="A21" s="348" t="s">
        <v>437</v>
      </c>
      <c r="B21" s="345"/>
      <c r="C21" s="343"/>
      <c r="D21" s="343"/>
      <c r="E21" s="343">
        <f t="shared" si="2"/>
        <v>0</v>
      </c>
      <c r="F21" s="343">
        <f t="shared" si="4"/>
        <v>0</v>
      </c>
      <c r="G21" s="343"/>
      <c r="H21" s="343"/>
      <c r="I21" s="343"/>
      <c r="J21" s="343"/>
    </row>
    <row r="22" spans="1:10" s="306" customFormat="1" ht="25.5" customHeight="1">
      <c r="A22" s="342" t="s">
        <v>485</v>
      </c>
      <c r="B22" s="345"/>
      <c r="C22" s="343">
        <v>66</v>
      </c>
      <c r="D22" s="343">
        <v>20</v>
      </c>
      <c r="E22" s="343">
        <f t="shared" si="2"/>
        <v>20</v>
      </c>
      <c r="F22" s="343">
        <f t="shared" si="4"/>
        <v>80</v>
      </c>
      <c r="G22" s="343">
        <v>20</v>
      </c>
      <c r="H22" s="343">
        <v>20</v>
      </c>
      <c r="I22" s="343">
        <v>20</v>
      </c>
      <c r="J22" s="343">
        <v>20</v>
      </c>
    </row>
    <row r="23" spans="1:10" s="306" customFormat="1" ht="25.5" customHeight="1">
      <c r="A23" s="342" t="s">
        <v>640</v>
      </c>
      <c r="B23" s="345"/>
      <c r="C23" s="343">
        <v>780</v>
      </c>
      <c r="D23" s="343"/>
      <c r="E23" s="343"/>
      <c r="F23" s="343">
        <f t="shared" si="4"/>
        <v>0</v>
      </c>
      <c r="G23" s="343"/>
      <c r="H23" s="343"/>
      <c r="I23" s="343"/>
      <c r="J23" s="343"/>
    </row>
    <row r="24" spans="1:10" s="306" customFormat="1" ht="28.5" hidden="1" customHeight="1">
      <c r="A24" s="339" t="s">
        <v>3</v>
      </c>
      <c r="B24" s="345">
        <v>4040</v>
      </c>
      <c r="C24" s="341"/>
      <c r="D24" s="341"/>
      <c r="E24" s="341">
        <f t="shared" si="2"/>
        <v>0</v>
      </c>
      <c r="F24" s="341">
        <f t="shared" si="4"/>
        <v>0</v>
      </c>
      <c r="G24" s="341"/>
      <c r="H24" s="341"/>
      <c r="I24" s="349"/>
      <c r="J24" s="349"/>
    </row>
    <row r="25" spans="1:10" s="306" customFormat="1" ht="28.5" hidden="1" customHeight="1">
      <c r="A25" s="342" t="s">
        <v>515</v>
      </c>
      <c r="B25" s="345"/>
      <c r="C25" s="343"/>
      <c r="D25" s="343"/>
      <c r="E25" s="343"/>
      <c r="F25" s="343">
        <f t="shared" si="4"/>
        <v>0</v>
      </c>
      <c r="G25" s="343"/>
      <c r="H25" s="343"/>
      <c r="I25" s="344"/>
      <c r="J25" s="344"/>
    </row>
    <row r="26" spans="1:10" s="306" customFormat="1" ht="43.5" customHeight="1">
      <c r="A26" s="339" t="s">
        <v>59</v>
      </c>
      <c r="B26" s="345">
        <v>4050</v>
      </c>
      <c r="C26" s="341">
        <f>SUM(C27:C28)</f>
        <v>27</v>
      </c>
      <c r="D26" s="341">
        <f t="shared" ref="D26:E26" si="6">SUM(D27:D28)</f>
        <v>0</v>
      </c>
      <c r="E26" s="341">
        <f t="shared" si="6"/>
        <v>0</v>
      </c>
      <c r="F26" s="341">
        <f t="shared" si="4"/>
        <v>0</v>
      </c>
      <c r="G26" s="341">
        <f t="shared" ref="G26" si="7">SUM(G27:G28)</f>
        <v>0</v>
      </c>
      <c r="H26" s="341">
        <f t="shared" ref="H26" si="8">SUM(H27:H28)</f>
        <v>0</v>
      </c>
      <c r="I26" s="341">
        <f t="shared" ref="I26" si="9">SUM(I27:I28)</f>
        <v>0</v>
      </c>
      <c r="J26" s="341">
        <f t="shared" ref="J26" si="10">SUM(J27:J28)</f>
        <v>0</v>
      </c>
    </row>
    <row r="27" spans="1:10" s="306" customFormat="1" ht="26.25" customHeight="1">
      <c r="A27" s="342" t="s">
        <v>513</v>
      </c>
      <c r="B27" s="345"/>
      <c r="C27" s="343">
        <v>10</v>
      </c>
      <c r="D27" s="343"/>
      <c r="E27" s="343"/>
      <c r="F27" s="343">
        <f t="shared" si="4"/>
        <v>0</v>
      </c>
      <c r="G27" s="343"/>
      <c r="H27" s="343"/>
      <c r="I27" s="344"/>
      <c r="J27" s="344"/>
    </row>
    <row r="28" spans="1:10" s="306" customFormat="1" ht="26.25" customHeight="1">
      <c r="A28" s="342" t="s">
        <v>563</v>
      </c>
      <c r="B28" s="345"/>
      <c r="C28" s="343">
        <v>17</v>
      </c>
      <c r="D28" s="343"/>
      <c r="E28" s="343"/>
      <c r="F28" s="343">
        <f t="shared" si="4"/>
        <v>0</v>
      </c>
      <c r="G28" s="343"/>
      <c r="H28" s="343"/>
      <c r="I28" s="344"/>
      <c r="J28" s="344"/>
    </row>
    <row r="29" spans="1:10" s="306" customFormat="1" ht="26.25" hidden="1" customHeight="1">
      <c r="A29" s="342" t="s">
        <v>512</v>
      </c>
      <c r="B29" s="345"/>
      <c r="C29" s="343"/>
      <c r="D29" s="343"/>
      <c r="E29" s="343"/>
      <c r="F29" s="343">
        <f t="shared" ref="F29:F32" si="11">SUM(G29:J29)</f>
        <v>0</v>
      </c>
      <c r="G29" s="343"/>
      <c r="H29" s="343"/>
      <c r="I29" s="344"/>
      <c r="J29" s="344"/>
    </row>
    <row r="31" spans="1:10" s="306" customFormat="1" ht="24.75" hidden="1" customHeight="1">
      <c r="A31" s="315" t="s">
        <v>606</v>
      </c>
      <c r="B31" s="316"/>
      <c r="C31" s="350"/>
      <c r="D31" s="350"/>
      <c r="E31" s="350"/>
      <c r="F31" s="350"/>
      <c r="G31" s="350"/>
      <c r="H31" s="350"/>
      <c r="I31" s="351"/>
      <c r="J31" s="351"/>
    </row>
    <row r="32" spans="1:10" s="306" customFormat="1" ht="9.75" hidden="1" customHeight="1">
      <c r="A32" s="352" t="s">
        <v>268</v>
      </c>
      <c r="B32" s="316">
        <v>4060</v>
      </c>
      <c r="C32" s="350"/>
      <c r="D32" s="350"/>
      <c r="E32" s="350">
        <f t="shared" si="2"/>
        <v>0</v>
      </c>
      <c r="F32" s="350">
        <f t="shared" si="11"/>
        <v>0</v>
      </c>
      <c r="G32" s="350"/>
      <c r="H32" s="350"/>
      <c r="I32" s="350"/>
      <c r="J32" s="350"/>
    </row>
    <row r="33" spans="1:9" ht="36" customHeight="1">
      <c r="A33" s="52"/>
      <c r="C33" s="15"/>
      <c r="D33" s="51"/>
      <c r="E33" s="51"/>
      <c r="F33" s="51"/>
      <c r="G33" s="51"/>
      <c r="H33" s="51"/>
    </row>
    <row r="34" spans="1:9" s="356" customFormat="1" ht="26.25" customHeight="1">
      <c r="A34" s="353" t="s">
        <v>519</v>
      </c>
      <c r="B34" s="354"/>
      <c r="C34" s="562" t="s">
        <v>84</v>
      </c>
      <c r="D34" s="562"/>
      <c r="E34" s="562"/>
      <c r="F34" s="355"/>
      <c r="G34" s="552" t="s">
        <v>657</v>
      </c>
      <c r="H34" s="552"/>
      <c r="I34" s="552"/>
    </row>
    <row r="35" spans="1:9">
      <c r="A35" s="14" t="s">
        <v>365</v>
      </c>
      <c r="B35" s="1"/>
      <c r="C35" s="511" t="s">
        <v>69</v>
      </c>
      <c r="D35" s="511"/>
      <c r="E35" s="511"/>
      <c r="F35" s="1"/>
      <c r="G35" s="512" t="s">
        <v>82</v>
      </c>
      <c r="H35" s="512"/>
      <c r="I35" s="512"/>
    </row>
    <row r="36" spans="1:9">
      <c r="A36" s="52"/>
      <c r="C36" s="15"/>
      <c r="D36" s="51"/>
      <c r="E36" s="51"/>
      <c r="F36" s="51"/>
      <c r="G36" s="51"/>
      <c r="H36" s="51"/>
    </row>
    <row r="37" spans="1:9">
      <c r="A37" s="52"/>
      <c r="C37" s="15"/>
      <c r="D37" s="51"/>
      <c r="E37" s="51"/>
      <c r="F37" s="51"/>
      <c r="G37" s="51"/>
      <c r="H37" s="51"/>
    </row>
    <row r="38" spans="1:9">
      <c r="A38" s="52"/>
      <c r="C38" s="15"/>
      <c r="D38" s="51"/>
      <c r="E38" s="51"/>
      <c r="F38" s="51"/>
      <c r="G38" s="51"/>
      <c r="H38" s="51"/>
    </row>
    <row r="39" spans="1:9">
      <c r="A39" s="52"/>
      <c r="C39" s="15"/>
      <c r="D39" s="51"/>
      <c r="E39" s="51"/>
      <c r="F39" s="51"/>
      <c r="G39" s="51"/>
      <c r="H39" s="51"/>
    </row>
    <row r="40" spans="1:9">
      <c r="A40" s="52"/>
      <c r="C40" s="15"/>
      <c r="D40" s="51"/>
      <c r="E40" s="51"/>
      <c r="F40" s="51"/>
      <c r="G40" s="51"/>
      <c r="H40" s="51"/>
    </row>
    <row r="41" spans="1:9">
      <c r="A41" s="52"/>
      <c r="C41" s="15"/>
      <c r="D41" s="51"/>
      <c r="E41" s="51"/>
      <c r="F41" s="51"/>
      <c r="G41" s="51"/>
      <c r="H41" s="51"/>
    </row>
    <row r="42" spans="1:9">
      <c r="A42" s="52"/>
      <c r="C42" s="15"/>
      <c r="D42" s="51"/>
      <c r="E42" s="51"/>
      <c r="F42" s="51"/>
      <c r="G42" s="51"/>
      <c r="H42" s="51"/>
    </row>
    <row r="43" spans="1:9">
      <c r="A43" s="52"/>
      <c r="C43" s="15"/>
      <c r="D43" s="51"/>
      <c r="E43" s="51"/>
      <c r="F43" s="51"/>
      <c r="G43" s="51"/>
      <c r="H43" s="51"/>
    </row>
    <row r="44" spans="1:9">
      <c r="A44" s="52"/>
      <c r="C44" s="15"/>
      <c r="D44" s="51"/>
      <c r="E44" s="51"/>
      <c r="F44" s="51"/>
      <c r="G44" s="51"/>
      <c r="H44" s="51"/>
    </row>
    <row r="45" spans="1:9">
      <c r="A45" s="52"/>
      <c r="C45" s="15"/>
      <c r="D45" s="51"/>
      <c r="E45" s="51"/>
      <c r="F45" s="51"/>
      <c r="G45" s="51"/>
      <c r="H45" s="51"/>
    </row>
    <row r="46" spans="1:9">
      <c r="A46" s="52"/>
      <c r="C46" s="15"/>
      <c r="D46" s="51"/>
      <c r="E46" s="51"/>
      <c r="F46" s="51"/>
      <c r="G46" s="51"/>
      <c r="H46" s="51"/>
    </row>
    <row r="47" spans="1:9">
      <c r="A47" s="52"/>
      <c r="C47" s="15"/>
      <c r="D47" s="51"/>
      <c r="E47" s="51"/>
      <c r="F47" s="51"/>
      <c r="G47" s="51"/>
      <c r="H47" s="51"/>
    </row>
    <row r="48" spans="1:9">
      <c r="A48" s="52"/>
      <c r="C48" s="15"/>
      <c r="D48" s="51"/>
      <c r="E48" s="51"/>
      <c r="F48" s="51"/>
      <c r="G48" s="51"/>
      <c r="H48" s="51"/>
    </row>
    <row r="49" spans="1:8">
      <c r="A49" s="52"/>
      <c r="C49" s="15"/>
      <c r="D49" s="51"/>
      <c r="E49" s="51"/>
      <c r="F49" s="51"/>
      <c r="G49" s="51"/>
      <c r="H49" s="51"/>
    </row>
    <row r="50" spans="1:8">
      <c r="A50" s="52"/>
      <c r="C50" s="15"/>
      <c r="D50" s="51"/>
      <c r="E50" s="51"/>
      <c r="F50" s="51"/>
      <c r="G50" s="51"/>
      <c r="H50" s="51"/>
    </row>
    <row r="51" spans="1:8">
      <c r="A51" s="52"/>
      <c r="C51" s="15"/>
      <c r="D51" s="51"/>
      <c r="E51" s="51"/>
      <c r="F51" s="51"/>
      <c r="G51" s="51"/>
      <c r="H51" s="51"/>
    </row>
    <row r="52" spans="1:8">
      <c r="A52" s="52"/>
      <c r="C52" s="15"/>
      <c r="D52" s="51"/>
      <c r="E52" s="51"/>
      <c r="F52" s="51"/>
      <c r="G52" s="51"/>
      <c r="H52" s="51"/>
    </row>
    <row r="53" spans="1:8">
      <c r="A53" s="52"/>
      <c r="C53" s="15"/>
      <c r="D53" s="51"/>
      <c r="E53" s="51"/>
      <c r="F53" s="51"/>
      <c r="G53" s="51"/>
      <c r="H53" s="51"/>
    </row>
    <row r="54" spans="1:8">
      <c r="A54" s="52"/>
      <c r="C54" s="15"/>
      <c r="D54" s="51"/>
      <c r="E54" s="51"/>
      <c r="F54" s="51"/>
      <c r="G54" s="51"/>
      <c r="H54" s="51"/>
    </row>
    <row r="55" spans="1:8">
      <c r="A55" s="52"/>
      <c r="C55" s="15"/>
      <c r="D55" s="51"/>
      <c r="E55" s="51"/>
      <c r="F55" s="51"/>
      <c r="G55" s="51"/>
      <c r="H55" s="51"/>
    </row>
    <row r="56" spans="1:8">
      <c r="A56" s="52"/>
      <c r="C56" s="15"/>
      <c r="D56" s="51"/>
      <c r="E56" s="51"/>
      <c r="F56" s="51"/>
      <c r="G56" s="51"/>
      <c r="H56" s="51"/>
    </row>
    <row r="57" spans="1:8">
      <c r="A57" s="52"/>
      <c r="C57" s="15"/>
      <c r="D57" s="51"/>
      <c r="E57" s="51"/>
      <c r="F57" s="51"/>
      <c r="G57" s="51"/>
      <c r="H57" s="51"/>
    </row>
    <row r="58" spans="1:8">
      <c r="A58" s="52"/>
      <c r="C58" s="15"/>
      <c r="D58" s="51"/>
      <c r="E58" s="51"/>
      <c r="F58" s="51"/>
      <c r="G58" s="51"/>
      <c r="H58" s="51"/>
    </row>
    <row r="59" spans="1:8">
      <c r="A59" s="52"/>
      <c r="C59" s="15"/>
      <c r="D59" s="51"/>
      <c r="E59" s="51"/>
      <c r="F59" s="51"/>
      <c r="G59" s="51"/>
      <c r="H59" s="51"/>
    </row>
    <row r="60" spans="1:8">
      <c r="A60" s="52"/>
      <c r="C60" s="15"/>
      <c r="D60" s="51"/>
      <c r="E60" s="51"/>
      <c r="F60" s="51"/>
      <c r="G60" s="51"/>
      <c r="H60" s="51"/>
    </row>
    <row r="61" spans="1:8">
      <c r="A61" s="52"/>
      <c r="C61" s="15"/>
      <c r="D61" s="51"/>
      <c r="E61" s="51"/>
      <c r="F61" s="51"/>
      <c r="G61" s="51"/>
      <c r="H61" s="51"/>
    </row>
    <row r="62" spans="1:8">
      <c r="A62" s="52"/>
      <c r="C62" s="15"/>
      <c r="D62" s="51"/>
      <c r="E62" s="51"/>
      <c r="F62" s="51"/>
      <c r="G62" s="51"/>
      <c r="H62" s="51"/>
    </row>
    <row r="63" spans="1:8">
      <c r="A63" s="52"/>
      <c r="C63" s="15"/>
      <c r="D63" s="51"/>
      <c r="E63" s="51"/>
      <c r="F63" s="51"/>
      <c r="G63" s="51"/>
      <c r="H63" s="51"/>
    </row>
    <row r="64" spans="1:8">
      <c r="A64" s="52"/>
      <c r="C64" s="15"/>
      <c r="D64" s="51"/>
      <c r="E64" s="51"/>
      <c r="F64" s="51"/>
      <c r="G64" s="51"/>
      <c r="H64" s="51"/>
    </row>
    <row r="65" spans="1:8">
      <c r="A65" s="52"/>
      <c r="C65" s="15"/>
      <c r="D65" s="51"/>
      <c r="E65" s="51"/>
      <c r="F65" s="51"/>
      <c r="G65" s="51"/>
      <c r="H65" s="51"/>
    </row>
    <row r="66" spans="1:8">
      <c r="A66" s="52"/>
      <c r="C66" s="15"/>
      <c r="D66" s="51"/>
      <c r="E66" s="51"/>
      <c r="F66" s="51"/>
      <c r="G66" s="51"/>
      <c r="H66" s="51"/>
    </row>
    <row r="67" spans="1:8">
      <c r="A67" s="52"/>
      <c r="C67" s="15"/>
      <c r="D67" s="51"/>
      <c r="E67" s="51"/>
      <c r="F67" s="51"/>
      <c r="G67" s="51"/>
      <c r="H67" s="51"/>
    </row>
    <row r="68" spans="1:8">
      <c r="A68" s="52"/>
      <c r="C68" s="15"/>
      <c r="D68" s="51"/>
      <c r="E68" s="51"/>
      <c r="F68" s="51"/>
      <c r="G68" s="51"/>
      <c r="H68" s="51"/>
    </row>
    <row r="69" spans="1:8">
      <c r="A69" s="52"/>
      <c r="C69" s="15"/>
      <c r="D69" s="51"/>
      <c r="E69" s="51"/>
      <c r="F69" s="51"/>
      <c r="G69" s="51"/>
      <c r="H69" s="51"/>
    </row>
    <row r="70" spans="1:8">
      <c r="A70" s="52"/>
      <c r="C70" s="15"/>
      <c r="D70" s="51"/>
      <c r="E70" s="51"/>
      <c r="F70" s="51"/>
      <c r="G70" s="51"/>
      <c r="H70" s="51"/>
    </row>
    <row r="71" spans="1:8">
      <c r="A71" s="52"/>
      <c r="C71" s="15"/>
      <c r="D71" s="51"/>
      <c r="E71" s="51"/>
      <c r="F71" s="51"/>
      <c r="G71" s="51"/>
      <c r="H71" s="51"/>
    </row>
    <row r="72" spans="1:8">
      <c r="A72" s="52"/>
      <c r="C72" s="15"/>
      <c r="D72" s="51"/>
      <c r="E72" s="51"/>
      <c r="F72" s="51"/>
      <c r="G72" s="51"/>
      <c r="H72" s="51"/>
    </row>
    <row r="73" spans="1:8">
      <c r="A73" s="52"/>
      <c r="C73" s="15"/>
      <c r="D73" s="51"/>
      <c r="E73" s="51"/>
      <c r="F73" s="51"/>
      <c r="G73" s="51"/>
      <c r="H73" s="51"/>
    </row>
    <row r="74" spans="1:8">
      <c r="A74" s="52"/>
      <c r="C74" s="15"/>
      <c r="D74" s="51"/>
      <c r="E74" s="51"/>
      <c r="F74" s="51"/>
      <c r="G74" s="51"/>
      <c r="H74" s="51"/>
    </row>
    <row r="75" spans="1:8">
      <c r="A75" s="52"/>
      <c r="C75" s="15"/>
      <c r="D75" s="51"/>
      <c r="E75" s="51"/>
      <c r="F75" s="51"/>
      <c r="G75" s="51"/>
      <c r="H75" s="51"/>
    </row>
    <row r="76" spans="1:8">
      <c r="A76" s="52"/>
      <c r="C76" s="15"/>
      <c r="D76" s="51"/>
      <c r="E76" s="51"/>
      <c r="F76" s="51"/>
      <c r="G76" s="51"/>
      <c r="H76" s="51"/>
    </row>
    <row r="77" spans="1:8">
      <c r="A77" s="52"/>
      <c r="C77" s="15"/>
      <c r="D77" s="51"/>
      <c r="E77" s="51"/>
      <c r="F77" s="51"/>
      <c r="G77" s="51"/>
      <c r="H77" s="51"/>
    </row>
    <row r="78" spans="1:8">
      <c r="A78" s="52"/>
      <c r="C78" s="15"/>
      <c r="D78" s="51"/>
      <c r="E78" s="51"/>
      <c r="F78" s="51"/>
      <c r="G78" s="51"/>
      <c r="H78" s="51"/>
    </row>
    <row r="79" spans="1:8">
      <c r="A79" s="52"/>
      <c r="C79" s="15"/>
      <c r="D79" s="51"/>
      <c r="E79" s="51"/>
      <c r="F79" s="51"/>
      <c r="G79" s="51"/>
      <c r="H79" s="51"/>
    </row>
    <row r="80" spans="1:8">
      <c r="A80" s="52"/>
      <c r="C80" s="15"/>
      <c r="D80" s="51"/>
      <c r="E80" s="51"/>
      <c r="F80" s="51"/>
      <c r="G80" s="51"/>
      <c r="H80" s="51"/>
    </row>
    <row r="81" spans="1:8">
      <c r="A81" s="52"/>
      <c r="C81" s="15"/>
      <c r="D81" s="51"/>
      <c r="E81" s="51"/>
      <c r="F81" s="51"/>
      <c r="G81" s="51"/>
      <c r="H81" s="51"/>
    </row>
    <row r="82" spans="1:8">
      <c r="A82" s="52"/>
      <c r="C82" s="15"/>
      <c r="D82" s="51"/>
      <c r="E82" s="51"/>
      <c r="F82" s="51"/>
      <c r="G82" s="51"/>
      <c r="H82" s="51"/>
    </row>
    <row r="83" spans="1:8">
      <c r="A83" s="52"/>
      <c r="C83" s="15"/>
      <c r="D83" s="51"/>
      <c r="E83" s="51"/>
      <c r="F83" s="51"/>
      <c r="G83" s="51"/>
      <c r="H83" s="51"/>
    </row>
    <row r="84" spans="1:8">
      <c r="A84" s="52"/>
      <c r="C84" s="15"/>
      <c r="D84" s="51"/>
      <c r="E84" s="51"/>
      <c r="F84" s="51"/>
      <c r="G84" s="51"/>
      <c r="H84" s="51"/>
    </row>
    <row r="85" spans="1:8">
      <c r="A85" s="52"/>
      <c r="C85" s="15"/>
      <c r="D85" s="51"/>
      <c r="E85" s="51"/>
      <c r="F85" s="51"/>
      <c r="G85" s="51"/>
      <c r="H85" s="51"/>
    </row>
    <row r="86" spans="1:8">
      <c r="A86" s="52"/>
      <c r="C86" s="15"/>
      <c r="D86" s="51"/>
      <c r="E86" s="51"/>
      <c r="F86" s="51"/>
      <c r="G86" s="51"/>
      <c r="H86" s="51"/>
    </row>
    <row r="87" spans="1:8">
      <c r="A87" s="52"/>
      <c r="C87" s="15"/>
      <c r="D87" s="51"/>
      <c r="E87" s="51"/>
      <c r="F87" s="51"/>
      <c r="G87" s="51"/>
      <c r="H87" s="51"/>
    </row>
    <row r="88" spans="1:8">
      <c r="A88" s="52"/>
      <c r="C88" s="15"/>
      <c r="D88" s="51"/>
      <c r="E88" s="51"/>
      <c r="F88" s="51"/>
      <c r="G88" s="51"/>
      <c r="H88" s="51"/>
    </row>
    <row r="89" spans="1:8">
      <c r="A89" s="52"/>
      <c r="C89" s="15"/>
      <c r="D89" s="51"/>
      <c r="E89" s="51"/>
      <c r="F89" s="51"/>
      <c r="G89" s="51"/>
      <c r="H89" s="51"/>
    </row>
    <row r="90" spans="1:8">
      <c r="A90" s="52"/>
    </row>
    <row r="91" spans="1:8">
      <c r="A91" s="53"/>
    </row>
    <row r="92" spans="1:8">
      <c r="A92" s="53"/>
    </row>
    <row r="93" spans="1:8">
      <c r="A93" s="53"/>
    </row>
    <row r="94" spans="1:8">
      <c r="A94" s="53"/>
    </row>
    <row r="95" spans="1:8">
      <c r="A95" s="53"/>
    </row>
    <row r="96" spans="1:8">
      <c r="A96" s="53"/>
    </row>
    <row r="97" spans="1:1">
      <c r="A97" s="53"/>
    </row>
    <row r="98" spans="1:1">
      <c r="A98" s="53"/>
    </row>
    <row r="99" spans="1:1">
      <c r="A99" s="53"/>
    </row>
    <row r="100" spans="1:1">
      <c r="A100" s="53"/>
    </row>
    <row r="101" spans="1:1">
      <c r="A101" s="53"/>
    </row>
    <row r="102" spans="1:1">
      <c r="A102" s="53"/>
    </row>
    <row r="103" spans="1:1">
      <c r="A103" s="53"/>
    </row>
    <row r="104" spans="1:1">
      <c r="A104" s="53"/>
    </row>
    <row r="105" spans="1:1">
      <c r="A105" s="53"/>
    </row>
    <row r="106" spans="1:1">
      <c r="A106" s="53"/>
    </row>
    <row r="107" spans="1:1">
      <c r="A107" s="53"/>
    </row>
    <row r="108" spans="1:1">
      <c r="A108" s="53"/>
    </row>
    <row r="109" spans="1:1">
      <c r="A109" s="53"/>
    </row>
    <row r="110" spans="1:1">
      <c r="A110" s="53"/>
    </row>
    <row r="111" spans="1:1">
      <c r="A111" s="53"/>
    </row>
    <row r="112" spans="1:1">
      <c r="A112" s="53"/>
    </row>
    <row r="113" spans="1:1">
      <c r="A113" s="53"/>
    </row>
    <row r="114" spans="1:1">
      <c r="A114" s="53"/>
    </row>
    <row r="115" spans="1:1">
      <c r="A115" s="53"/>
    </row>
    <row r="116" spans="1:1">
      <c r="A116" s="53"/>
    </row>
    <row r="117" spans="1:1">
      <c r="A117" s="53"/>
    </row>
    <row r="118" spans="1:1">
      <c r="A118" s="53"/>
    </row>
    <row r="119" spans="1:1">
      <c r="A119" s="53"/>
    </row>
    <row r="120" spans="1:1">
      <c r="A120" s="53"/>
    </row>
    <row r="121" spans="1:1">
      <c r="A121" s="53"/>
    </row>
    <row r="122" spans="1:1">
      <c r="A122" s="53"/>
    </row>
    <row r="123" spans="1:1">
      <c r="A123" s="53"/>
    </row>
    <row r="124" spans="1:1">
      <c r="A124" s="53"/>
    </row>
    <row r="125" spans="1:1">
      <c r="A125" s="53"/>
    </row>
    <row r="126" spans="1:1">
      <c r="A126" s="53"/>
    </row>
    <row r="127" spans="1:1">
      <c r="A127" s="53"/>
    </row>
    <row r="128" spans="1:1">
      <c r="A128" s="53"/>
    </row>
    <row r="129" spans="1:1">
      <c r="A129" s="53"/>
    </row>
    <row r="130" spans="1:1">
      <c r="A130" s="53"/>
    </row>
    <row r="131" spans="1:1">
      <c r="A131" s="53"/>
    </row>
    <row r="132" spans="1:1">
      <c r="A132" s="53"/>
    </row>
    <row r="133" spans="1:1">
      <c r="A133" s="53"/>
    </row>
    <row r="134" spans="1:1">
      <c r="A134" s="53"/>
    </row>
    <row r="135" spans="1:1">
      <c r="A135" s="53"/>
    </row>
    <row r="136" spans="1:1">
      <c r="A136" s="53"/>
    </row>
    <row r="137" spans="1:1">
      <c r="A137" s="53"/>
    </row>
    <row r="138" spans="1:1">
      <c r="A138" s="53"/>
    </row>
    <row r="139" spans="1:1">
      <c r="A139" s="53"/>
    </row>
    <row r="140" spans="1:1">
      <c r="A140" s="53"/>
    </row>
    <row r="141" spans="1:1">
      <c r="A141" s="53"/>
    </row>
    <row r="142" spans="1:1">
      <c r="A142" s="53"/>
    </row>
    <row r="143" spans="1:1">
      <c r="A143" s="53"/>
    </row>
    <row r="144" spans="1:1">
      <c r="A144" s="53"/>
    </row>
    <row r="145" spans="1:1">
      <c r="A145" s="53"/>
    </row>
    <row r="146" spans="1:1">
      <c r="A146" s="53"/>
    </row>
    <row r="147" spans="1:1">
      <c r="A147" s="53"/>
    </row>
    <row r="148" spans="1:1">
      <c r="A148" s="53"/>
    </row>
    <row r="149" spans="1:1">
      <c r="A149" s="53"/>
    </row>
    <row r="150" spans="1:1">
      <c r="A150" s="53"/>
    </row>
    <row r="151" spans="1:1">
      <c r="A151" s="53"/>
    </row>
    <row r="152" spans="1:1">
      <c r="A152" s="53"/>
    </row>
    <row r="153" spans="1:1">
      <c r="A153" s="53"/>
    </row>
    <row r="154" spans="1:1">
      <c r="A154" s="53"/>
    </row>
    <row r="155" spans="1:1">
      <c r="A155" s="53"/>
    </row>
    <row r="156" spans="1:1">
      <c r="A156" s="53"/>
    </row>
    <row r="157" spans="1:1">
      <c r="A157" s="53"/>
    </row>
    <row r="158" spans="1:1">
      <c r="A158" s="53"/>
    </row>
    <row r="159" spans="1:1">
      <c r="A159" s="53"/>
    </row>
    <row r="160" spans="1:1">
      <c r="A160" s="53"/>
    </row>
    <row r="161" spans="1:1">
      <c r="A161" s="53"/>
    </row>
    <row r="162" spans="1:1">
      <c r="A162" s="53"/>
    </row>
    <row r="163" spans="1:1">
      <c r="A163" s="53"/>
    </row>
    <row r="164" spans="1:1">
      <c r="A164" s="53"/>
    </row>
    <row r="165" spans="1:1">
      <c r="A165" s="53"/>
    </row>
    <row r="166" spans="1:1">
      <c r="A166" s="53"/>
    </row>
    <row r="167" spans="1:1">
      <c r="A167" s="53"/>
    </row>
    <row r="168" spans="1:1">
      <c r="A168" s="53"/>
    </row>
    <row r="169" spans="1:1">
      <c r="A169" s="53"/>
    </row>
    <row r="170" spans="1:1">
      <c r="A170" s="53"/>
    </row>
    <row r="171" spans="1:1">
      <c r="A171" s="53"/>
    </row>
    <row r="172" spans="1:1">
      <c r="A172" s="53"/>
    </row>
    <row r="173" spans="1:1">
      <c r="A173" s="53"/>
    </row>
    <row r="174" spans="1:1">
      <c r="A174" s="53"/>
    </row>
    <row r="175" spans="1:1">
      <c r="A175" s="53"/>
    </row>
    <row r="176" spans="1:1">
      <c r="A176" s="53"/>
    </row>
    <row r="177" spans="1:1">
      <c r="A177" s="53"/>
    </row>
    <row r="178" spans="1:1">
      <c r="A178" s="53"/>
    </row>
    <row r="179" spans="1:1">
      <c r="A179" s="53"/>
    </row>
    <row r="180" spans="1:1">
      <c r="A180" s="53"/>
    </row>
    <row r="181" spans="1:1">
      <c r="A181" s="53"/>
    </row>
    <row r="182" spans="1:1">
      <c r="A182" s="53"/>
    </row>
    <row r="183" spans="1:1">
      <c r="A183" s="53"/>
    </row>
    <row r="184" spans="1:1">
      <c r="A184" s="53"/>
    </row>
    <row r="185" spans="1:1">
      <c r="A185" s="53"/>
    </row>
    <row r="186" spans="1:1">
      <c r="A186" s="53"/>
    </row>
    <row r="187" spans="1:1">
      <c r="A187" s="53"/>
    </row>
    <row r="188" spans="1:1">
      <c r="A188" s="53"/>
    </row>
    <row r="189" spans="1:1">
      <c r="A189" s="53"/>
    </row>
    <row r="190" spans="1:1">
      <c r="A190" s="53"/>
    </row>
    <row r="191" spans="1:1">
      <c r="A191" s="53"/>
    </row>
    <row r="192" spans="1:1">
      <c r="A192" s="53"/>
    </row>
    <row r="193" spans="1:1">
      <c r="A193" s="53"/>
    </row>
    <row r="194" spans="1:1">
      <c r="A194" s="53"/>
    </row>
    <row r="195" spans="1:1">
      <c r="A195" s="53"/>
    </row>
    <row r="196" spans="1:1">
      <c r="A196" s="53"/>
    </row>
    <row r="197" spans="1:1">
      <c r="A197" s="53"/>
    </row>
    <row r="198" spans="1:1">
      <c r="A198" s="53"/>
    </row>
    <row r="199" spans="1:1">
      <c r="A199" s="53"/>
    </row>
    <row r="200" spans="1:1">
      <c r="A200" s="53"/>
    </row>
    <row r="201" spans="1:1">
      <c r="A201" s="53"/>
    </row>
    <row r="202" spans="1:1">
      <c r="A202" s="53"/>
    </row>
    <row r="203" spans="1:1">
      <c r="A203" s="53"/>
    </row>
    <row r="204" spans="1:1">
      <c r="A204" s="53"/>
    </row>
    <row r="205" spans="1:1">
      <c r="A205" s="53"/>
    </row>
    <row r="206" spans="1:1">
      <c r="A206" s="53"/>
    </row>
    <row r="207" spans="1:1">
      <c r="A207" s="53"/>
    </row>
    <row r="208" spans="1:1">
      <c r="A208" s="53"/>
    </row>
    <row r="209" spans="1:1">
      <c r="A209" s="53"/>
    </row>
    <row r="210" spans="1:1">
      <c r="A210" s="53"/>
    </row>
    <row r="211" spans="1:1">
      <c r="A211" s="53"/>
    </row>
    <row r="212" spans="1:1">
      <c r="A212" s="53"/>
    </row>
    <row r="213" spans="1:1">
      <c r="A213" s="53"/>
    </row>
    <row r="214" spans="1:1">
      <c r="A214" s="53"/>
    </row>
    <row r="215" spans="1:1">
      <c r="A215" s="53"/>
    </row>
    <row r="216" spans="1:1">
      <c r="A216" s="53"/>
    </row>
    <row r="217" spans="1:1">
      <c r="A217" s="53"/>
    </row>
    <row r="218" spans="1:1">
      <c r="A218" s="53"/>
    </row>
    <row r="219" spans="1:1">
      <c r="A219" s="53"/>
    </row>
    <row r="220" spans="1:1">
      <c r="A220" s="53"/>
    </row>
    <row r="221" spans="1:1">
      <c r="A221" s="53"/>
    </row>
    <row r="222" spans="1:1">
      <c r="A222" s="53"/>
    </row>
    <row r="223" spans="1:1">
      <c r="A223" s="53"/>
    </row>
    <row r="224" spans="1:1">
      <c r="A224" s="53"/>
    </row>
    <row r="225" spans="1:1">
      <c r="A225" s="53"/>
    </row>
    <row r="226" spans="1:1">
      <c r="A226" s="53"/>
    </row>
    <row r="227" spans="1:1">
      <c r="A227" s="53"/>
    </row>
    <row r="228" spans="1:1">
      <c r="A228" s="53"/>
    </row>
    <row r="229" spans="1:1">
      <c r="A229" s="53"/>
    </row>
    <row r="230" spans="1:1">
      <c r="A230" s="53"/>
    </row>
    <row r="231" spans="1:1">
      <c r="A231" s="53"/>
    </row>
    <row r="232" spans="1:1">
      <c r="A232" s="53"/>
    </row>
    <row r="233" spans="1:1">
      <c r="A233" s="53"/>
    </row>
    <row r="234" spans="1:1">
      <c r="A234" s="53"/>
    </row>
    <row r="235" spans="1:1">
      <c r="A235" s="53"/>
    </row>
    <row r="236" spans="1:1">
      <c r="A236" s="53"/>
    </row>
    <row r="237" spans="1:1">
      <c r="A237" s="53"/>
    </row>
    <row r="238" spans="1:1">
      <c r="A238" s="53"/>
    </row>
    <row r="239" spans="1:1">
      <c r="A239" s="53"/>
    </row>
    <row r="240" spans="1:1">
      <c r="A240" s="53"/>
    </row>
    <row r="241" spans="1:1">
      <c r="A241" s="53"/>
    </row>
    <row r="242" spans="1:1">
      <c r="A242" s="53"/>
    </row>
    <row r="243" spans="1:1">
      <c r="A243" s="53"/>
    </row>
    <row r="244" spans="1:1">
      <c r="A244" s="53"/>
    </row>
    <row r="245" spans="1:1">
      <c r="A245" s="53"/>
    </row>
    <row r="246" spans="1:1">
      <c r="A246" s="53"/>
    </row>
    <row r="247" spans="1:1">
      <c r="A247" s="53"/>
    </row>
    <row r="248" spans="1:1">
      <c r="A248" s="53"/>
    </row>
    <row r="249" spans="1:1">
      <c r="A249" s="53"/>
    </row>
    <row r="250" spans="1:1">
      <c r="A250" s="53"/>
    </row>
    <row r="251" spans="1:1">
      <c r="A251" s="53"/>
    </row>
    <row r="252" spans="1:1">
      <c r="A252" s="53"/>
    </row>
    <row r="253" spans="1:1">
      <c r="A253" s="53"/>
    </row>
    <row r="254" spans="1:1">
      <c r="A254" s="53"/>
    </row>
    <row r="255" spans="1:1">
      <c r="A255" s="53"/>
    </row>
    <row r="256" spans="1:1">
      <c r="A256" s="53"/>
    </row>
    <row r="257" spans="1:1">
      <c r="A257" s="53"/>
    </row>
  </sheetData>
  <sheetProtection algorithmName="SHA-512" hashValue="MoMe58vbZztZC2BfIWHJjNWQLG1QrM15MlG4hS6XtGCWqoOtkDyS8N38ExjVwDkGg3KJq/xJwi2b3dSSEzvnsw==" saltValue="Pfear1EVVXyvby07ntERnQ==" spinCount="100000" sheet="1" objects="1" scenarios="1" selectLockedCells="1" selectUnlockedCells="1"/>
  <mergeCells count="13">
    <mergeCell ref="G34:I34"/>
    <mergeCell ref="G35:I35"/>
    <mergeCell ref="A2:H2"/>
    <mergeCell ref="A4:A5"/>
    <mergeCell ref="B4:B5"/>
    <mergeCell ref="C4:C5"/>
    <mergeCell ref="D4:D5"/>
    <mergeCell ref="E4:E5"/>
    <mergeCell ref="F4:F5"/>
    <mergeCell ref="G4:J4"/>
    <mergeCell ref="I3:J3"/>
    <mergeCell ref="C34:E34"/>
    <mergeCell ref="C35:E35"/>
  </mergeCells>
  <pageMargins left="0.59055118110236227" right="0.59055118110236227" top="0.98425196850393704" bottom="0.59055118110236227" header="0.15748031496062992" footer="0.15748031496062992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7"/>
  <sheetViews>
    <sheetView view="pageBreakPreview" topLeftCell="A7" zoomScale="55" zoomScaleNormal="75" zoomScaleSheetLayoutView="55" workbookViewId="0">
      <selection activeCell="N21" sqref="N21"/>
    </sheetView>
  </sheetViews>
  <sheetFormatPr defaultColWidth="9.109375" defaultRowHeight="13.2"/>
  <cols>
    <col min="1" max="1" width="101.109375" style="11" customWidth="1"/>
    <col min="2" max="2" width="19.44140625" style="11" customWidth="1"/>
    <col min="3" max="3" width="25" style="11" customWidth="1"/>
    <col min="4" max="4" width="20.6640625" style="11" customWidth="1"/>
    <col min="5" max="5" width="22.109375" style="11" customWidth="1"/>
    <col min="6" max="6" width="21" style="11" customWidth="1"/>
    <col min="7" max="7" width="24.44140625" style="11" customWidth="1"/>
    <col min="8" max="8" width="84.33203125" style="11" customWidth="1"/>
    <col min="9" max="9" width="9.5546875" style="11" customWidth="1"/>
    <col min="10" max="16384" width="9.109375" style="11"/>
  </cols>
  <sheetData>
    <row r="1" spans="1:8" ht="24.75" customHeight="1">
      <c r="H1" s="213" t="s">
        <v>350</v>
      </c>
    </row>
    <row r="2" spans="1:8" ht="25.5" customHeight="1">
      <c r="A2" s="563" t="s">
        <v>145</v>
      </c>
      <c r="B2" s="563"/>
      <c r="C2" s="563"/>
      <c r="D2" s="563"/>
      <c r="E2" s="563"/>
      <c r="F2" s="563"/>
      <c r="G2" s="563"/>
      <c r="H2" s="563"/>
    </row>
    <row r="3" spans="1:8" ht="16.5" customHeight="1"/>
    <row r="4" spans="1:8" ht="45" customHeight="1">
      <c r="A4" s="564" t="s">
        <v>164</v>
      </c>
      <c r="B4" s="564" t="s">
        <v>0</v>
      </c>
      <c r="C4" s="564" t="s">
        <v>80</v>
      </c>
      <c r="D4" s="569" t="s">
        <v>637</v>
      </c>
      <c r="E4" s="569" t="s">
        <v>638</v>
      </c>
      <c r="F4" s="571" t="s">
        <v>633</v>
      </c>
      <c r="G4" s="569" t="s">
        <v>659</v>
      </c>
      <c r="H4" s="564" t="s">
        <v>81</v>
      </c>
    </row>
    <row r="5" spans="1:8" ht="52.5" customHeight="1">
      <c r="A5" s="565"/>
      <c r="B5" s="565"/>
      <c r="C5" s="565"/>
      <c r="D5" s="570"/>
      <c r="E5" s="570"/>
      <c r="F5" s="572"/>
      <c r="G5" s="570"/>
      <c r="H5" s="565"/>
    </row>
    <row r="6" spans="1:8" s="214" customFormat="1" ht="18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s="214" customFormat="1" ht="35.25" customHeight="1">
      <c r="A7" s="7" t="s">
        <v>123</v>
      </c>
      <c r="B7" s="7"/>
      <c r="C7" s="6"/>
      <c r="D7" s="6"/>
      <c r="E7" s="6"/>
      <c r="F7" s="6"/>
      <c r="G7" s="6"/>
      <c r="H7" s="6"/>
    </row>
    <row r="8" spans="1:8" ht="66" customHeight="1">
      <c r="A8" s="16" t="s">
        <v>317</v>
      </c>
      <c r="B8" s="206">
        <v>5000</v>
      </c>
      <c r="C8" s="8" t="s">
        <v>184</v>
      </c>
      <c r="D8" s="242">
        <f>('Осн. фін. пок.'!C53/'Осн. фін. пок.'!C51)*100</f>
        <v>10.1</v>
      </c>
      <c r="E8" s="242">
        <f>('Осн. фін. пок.'!D53/'Осн. фін. пок.'!D51)*100</f>
        <v>14.9</v>
      </c>
      <c r="F8" s="242">
        <f>('Осн. фін. пок.'!E53/'Осн. фін. пок.'!E51)*100</f>
        <v>14.9</v>
      </c>
      <c r="G8" s="242">
        <f>('Осн. фін. пок.'!F53/'Осн. фін. пок.'!F51)*100</f>
        <v>11.7</v>
      </c>
      <c r="H8" s="9"/>
    </row>
    <row r="9" spans="1:8" ht="66" customHeight="1">
      <c r="A9" s="16" t="s">
        <v>318</v>
      </c>
      <c r="B9" s="206">
        <v>5010</v>
      </c>
      <c r="C9" s="8" t="s">
        <v>184</v>
      </c>
      <c r="D9" s="242">
        <f>('Осн. фін. пок.'!C59/'Осн. фін. пок.'!C51)*100</f>
        <v>8.6999999999999993</v>
      </c>
      <c r="E9" s="242">
        <f>('Осн. фін. пок.'!D59/'Осн. фін. пок.'!D51)*100</f>
        <v>12.1</v>
      </c>
      <c r="F9" s="242">
        <f>('Осн. фін. пок.'!E59/'Осн. фін. пок.'!E51)*100</f>
        <v>12.1</v>
      </c>
      <c r="G9" s="242">
        <f>('Осн. фін. пок.'!F59/'Осн. фін. пок.'!F51)*100</f>
        <v>8</v>
      </c>
      <c r="H9" s="9"/>
    </row>
    <row r="10" spans="1:8" ht="51" customHeight="1">
      <c r="A10" s="215" t="s">
        <v>320</v>
      </c>
      <c r="B10" s="206">
        <v>5020</v>
      </c>
      <c r="C10" s="8" t="s">
        <v>184</v>
      </c>
      <c r="D10" s="242">
        <f>('Осн. фін. пок.'!C72/'Осн. фін. пок.'!C103)*100</f>
        <v>3.4</v>
      </c>
      <c r="E10" s="242">
        <f>('Осн. фін. пок.'!D72/'Осн. фін. пок.'!D103)*100</f>
        <v>8.9</v>
      </c>
      <c r="F10" s="242">
        <f>('Осн. фін. пок.'!E72/'Осн. фін. пок.'!E103)*100</f>
        <v>8.9</v>
      </c>
      <c r="G10" s="242">
        <f>('Осн. фін. пок.'!F72/'Осн. фін. пок.'!F103)*100</f>
        <v>4.3</v>
      </c>
      <c r="H10" s="9" t="s">
        <v>185</v>
      </c>
    </row>
    <row r="11" spans="1:8" ht="51" customHeight="1">
      <c r="A11" s="215" t="s">
        <v>398</v>
      </c>
      <c r="B11" s="206">
        <v>5030</v>
      </c>
      <c r="C11" s="8" t="s">
        <v>184</v>
      </c>
      <c r="D11" s="242">
        <f>('Осн. фін. пок.'!C72/'Осн. фін. пок.'!C104)*100</f>
        <v>5.6</v>
      </c>
      <c r="E11" s="242">
        <f>('Осн. фін. пок.'!D72/'Осн. фін. пок.'!D104)*100</f>
        <v>10.199999999999999</v>
      </c>
      <c r="F11" s="242">
        <f>('Осн. фін. пок.'!E72/'Осн. фін. пок.'!E104)*100</f>
        <v>10.199999999999999</v>
      </c>
      <c r="G11" s="242">
        <f>('Осн. фін. пок.'!F72/'Осн. фін. пок.'!F104)*100</f>
        <v>4.5</v>
      </c>
      <c r="H11" s="9"/>
    </row>
    <row r="12" spans="1:8" ht="60" customHeight="1">
      <c r="A12" s="215" t="s">
        <v>319</v>
      </c>
      <c r="B12" s="206">
        <v>5040</v>
      </c>
      <c r="C12" s="8" t="s">
        <v>184</v>
      </c>
      <c r="D12" s="242">
        <f>('Осн. фін. пок.'!C72/'Осн. фін. пок.'!C51)*100</f>
        <v>2.2999999999999998</v>
      </c>
      <c r="E12" s="242">
        <f>('Осн. фін. пок.'!D72/'Осн. фін. пок.'!D51)*100</f>
        <v>5.7</v>
      </c>
      <c r="F12" s="242">
        <f>('Осн. фін. пок.'!E72/'Осн. фін. пок.'!E51)*100</f>
        <v>5.7</v>
      </c>
      <c r="G12" s="242">
        <f>('Осн. фін. пок.'!F72/'Осн. фін. пок.'!F51)*100</f>
        <v>3.1</v>
      </c>
      <c r="H12" s="9" t="s">
        <v>186</v>
      </c>
    </row>
    <row r="13" spans="1:8" ht="38.25" customHeight="1">
      <c r="A13" s="7" t="s">
        <v>125</v>
      </c>
      <c r="B13" s="206"/>
      <c r="C13" s="10"/>
      <c r="D13" s="242"/>
      <c r="E13" s="242"/>
      <c r="F13" s="242"/>
      <c r="G13" s="242"/>
      <c r="H13" s="9"/>
    </row>
    <row r="14" spans="1:8" ht="65.25" customHeight="1">
      <c r="A14" s="216" t="s">
        <v>399</v>
      </c>
      <c r="B14" s="206">
        <v>5100</v>
      </c>
      <c r="C14" s="8"/>
      <c r="D14" s="242">
        <f>('Осн. фін. пок.'!C105+'Осн. фін. пок.'!C106)/'Осн. фін. пок.'!C59</f>
        <v>2.9</v>
      </c>
      <c r="E14" s="242">
        <f>('Осн. фін. пок.'!D105+'Осн. фін. пок.'!D106)/'Осн. фін. пок.'!D59</f>
        <v>0.7</v>
      </c>
      <c r="F14" s="242">
        <f>('Осн. фін. пок.'!E105+'Осн. фін. пок.'!E106)/'Осн. фін. пок.'!E59</f>
        <v>0.7</v>
      </c>
      <c r="G14" s="242">
        <f>('Осн. фін. пок.'!F105+'Осн. фін. пок.'!F106)/'Осн. фін. пок.'!F59</f>
        <v>0.5</v>
      </c>
      <c r="H14" s="9"/>
    </row>
    <row r="15" spans="1:8" s="214" customFormat="1" ht="66" customHeight="1">
      <c r="A15" s="216" t="s">
        <v>400</v>
      </c>
      <c r="B15" s="206">
        <v>5110</v>
      </c>
      <c r="C15" s="8" t="s">
        <v>120</v>
      </c>
      <c r="D15" s="242">
        <f>'Осн. фін. пок.'!C104/('Осн. фін. пок.'!C105+'Осн. фін. пок.'!C106)</f>
        <v>1.6</v>
      </c>
      <c r="E15" s="242">
        <f>'Осн. фін. пок.'!D104/('Осн. фін. пок.'!D105+'Осн. фін. пок.'!D106)</f>
        <v>7</v>
      </c>
      <c r="F15" s="242">
        <f>'Осн. фін. пок.'!E104/('Осн. фін. пок.'!E105+'Осн. фін. пок.'!E106)</f>
        <v>7</v>
      </c>
      <c r="G15" s="242">
        <f>'Осн. фін. пок.'!F104/('Осн. фін. пок.'!F105+'Осн. фін. пок.'!F106)</f>
        <v>17.7</v>
      </c>
      <c r="H15" s="9" t="s">
        <v>187</v>
      </c>
    </row>
    <row r="16" spans="1:8" s="214" customFormat="1" ht="62.25" customHeight="1">
      <c r="A16" s="216" t="s">
        <v>401</v>
      </c>
      <c r="B16" s="206">
        <v>5120</v>
      </c>
      <c r="C16" s="8" t="s">
        <v>120</v>
      </c>
      <c r="D16" s="242">
        <f>'Осн. фін. пок.'!C101/'Осн. фін. пок.'!C106</f>
        <v>1.4</v>
      </c>
      <c r="E16" s="242">
        <f>'Осн. фін. пок.'!D101/'Осн. фін. пок.'!D106</f>
        <v>8.1</v>
      </c>
      <c r="F16" s="242">
        <f>'Осн. фін. пок.'!E101/'Осн. фін. пок.'!E106</f>
        <v>9.5</v>
      </c>
      <c r="G16" s="242">
        <f>'Осн. фін. пок.'!F101/'Осн. фін. пок.'!F106</f>
        <v>15.4</v>
      </c>
      <c r="H16" s="9" t="s">
        <v>189</v>
      </c>
    </row>
    <row r="17" spans="1:10" ht="33.75" customHeight="1">
      <c r="A17" s="7" t="s">
        <v>124</v>
      </c>
      <c r="B17" s="206"/>
      <c r="C17" s="8"/>
      <c r="D17" s="242"/>
      <c r="E17" s="242"/>
      <c r="F17" s="242"/>
      <c r="G17" s="242"/>
      <c r="H17" s="9"/>
    </row>
    <row r="18" spans="1:10" ht="52.5" customHeight="1">
      <c r="A18" s="216" t="s">
        <v>309</v>
      </c>
      <c r="B18" s="206">
        <v>5200</v>
      </c>
      <c r="C18" s="8"/>
      <c r="D18" s="242">
        <f>'IV. Кап. інвестиції'!C7/'I. Фін результат'!C93</f>
        <v>0.2</v>
      </c>
      <c r="E18" s="243">
        <f>'IV. Кап. інвестиції'!D7/'I. Фін результат'!D93</f>
        <v>0</v>
      </c>
      <c r="F18" s="243">
        <f>'IV. Кап. інвестиції'!E7/'I. Фін результат'!E93</f>
        <v>0</v>
      </c>
      <c r="G18" s="243">
        <f>'IV. Кап. інвестиції'!F7/'I. Фін результат'!F93</f>
        <v>3.2</v>
      </c>
      <c r="H18" s="9"/>
    </row>
    <row r="19" spans="1:10" ht="83.25" customHeight="1">
      <c r="A19" s="216" t="s">
        <v>310</v>
      </c>
      <c r="B19" s="206">
        <v>5210</v>
      </c>
      <c r="C19" s="8"/>
      <c r="D19" s="240">
        <f>'Осн. фін. пок.'!C89/'Осн. фін. пок.'!C51</f>
        <v>0</v>
      </c>
      <c r="E19" s="240">
        <f>'Осн. фін. пок.'!D89/'Осн. фін. пок.'!D51</f>
        <v>0</v>
      </c>
      <c r="F19" s="240">
        <f>'Осн. фін. пок.'!E89/'Осн. фін. пок.'!E51</f>
        <v>0</v>
      </c>
      <c r="G19" s="240">
        <f>'Осн. фін. пок.'!F89/'Осн. фін. пок.'!F51</f>
        <v>0.1</v>
      </c>
      <c r="H19" s="9"/>
    </row>
    <row r="20" spans="1:10" ht="55.5" customHeight="1">
      <c r="A20" s="216" t="s">
        <v>311</v>
      </c>
      <c r="B20" s="206">
        <v>5220</v>
      </c>
      <c r="C20" s="8" t="s">
        <v>269</v>
      </c>
      <c r="D20" s="242">
        <f>'Осн. фін. пок.'!C100/'Осн. фін. пок.'!C99</f>
        <v>0.4</v>
      </c>
      <c r="E20" s="242">
        <f>'Осн. фін. пок.'!D100/'Осн. фін. пок.'!D99</f>
        <v>0.5</v>
      </c>
      <c r="F20" s="242">
        <f>'Осн. фін. пок.'!E100/'Осн. фін. пок.'!E99</f>
        <v>0.5</v>
      </c>
      <c r="G20" s="242">
        <f>'Осн. фін. пок.'!F100/'Осн. фін. пок.'!F99</f>
        <v>0.4</v>
      </c>
      <c r="H20" s="9" t="s">
        <v>188</v>
      </c>
    </row>
    <row r="21" spans="1:10" ht="34.5" customHeight="1">
      <c r="A21" s="7" t="s">
        <v>170</v>
      </c>
      <c r="B21" s="206"/>
      <c r="C21" s="8"/>
      <c r="D21" s="54"/>
      <c r="E21" s="54"/>
      <c r="F21" s="54"/>
      <c r="G21" s="54"/>
      <c r="H21" s="9"/>
    </row>
    <row r="22" spans="1:10" ht="61.5" customHeight="1">
      <c r="A22" s="215" t="s">
        <v>195</v>
      </c>
      <c r="B22" s="206">
        <v>5300</v>
      </c>
      <c r="C22" s="8"/>
      <c r="D22" s="54"/>
      <c r="E22" s="54"/>
      <c r="F22" s="54"/>
      <c r="G22" s="54"/>
      <c r="H22" s="9"/>
    </row>
    <row r="23" spans="1:10" ht="14.25" customHeight="1"/>
    <row r="24" spans="1:10" ht="14.25" customHeight="1"/>
    <row r="25" spans="1:10" ht="20.100000000000001" customHeight="1">
      <c r="I25" s="238"/>
      <c r="J25" s="238"/>
    </row>
    <row r="26" spans="1:10" s="12" customFormat="1" ht="20.100000000000001" customHeight="1">
      <c r="A26" s="217" t="s">
        <v>566</v>
      </c>
      <c r="B26" s="218"/>
      <c r="C26" s="211"/>
      <c r="D26" s="566" t="s">
        <v>84</v>
      </c>
      <c r="E26" s="567"/>
      <c r="F26" s="567"/>
      <c r="G26" s="567"/>
      <c r="H26" s="219" t="s">
        <v>657</v>
      </c>
      <c r="I26" s="210"/>
      <c r="J26" s="210"/>
    </row>
    <row r="27" spans="1:10" s="222" customFormat="1" ht="20.100000000000001" customHeight="1">
      <c r="A27" s="204" t="s">
        <v>68</v>
      </c>
      <c r="B27" s="220"/>
      <c r="C27" s="68"/>
      <c r="D27" s="568" t="s">
        <v>69</v>
      </c>
      <c r="E27" s="568"/>
      <c r="F27" s="568"/>
      <c r="G27" s="568"/>
      <c r="H27" s="203" t="s">
        <v>161</v>
      </c>
      <c r="I27" s="221"/>
      <c r="J27" s="221"/>
    </row>
  </sheetData>
  <sheetProtection algorithmName="SHA-512" hashValue="ph1fauNANhCmzovlaYa0jtSZcPgG2xe7KCHai5jxCir+5LqNT+9fkyi/EavDnIFwHvlG/Ad00Zzq9B+IRP7Ktg==" saltValue="1ZNHTow7eY2pwiAbdV6A6g==" spinCount="100000" sheet="1" objects="1" scenarios="1" selectLockedCells="1" selectUnlockedCells="1"/>
  <mergeCells count="11">
    <mergeCell ref="A2:H2"/>
    <mergeCell ref="H4:H5"/>
    <mergeCell ref="D26:G26"/>
    <mergeCell ref="D27:G27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59055118110236227" header="0.47244094488188981" footer="0.31496062992125984"/>
  <pageSetup paperSize="9" scale="43" orientation="landscape" r:id="rId1"/>
  <headerFooter alignWithMargins="0"/>
  <ignoredErrors>
    <ignoredError sqref="D8:D10 G17 E17:F17 G13 E13:F13 D12:D14 D16:D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20</vt:i4>
      </vt:variant>
    </vt:vector>
  </HeadingPairs>
  <TitlesOfParts>
    <vt:vector size="34" baseType="lpstr">
      <vt:lpstr>Осн. фін. пок.</vt:lpstr>
      <vt:lpstr>I. Фін результат</vt:lpstr>
      <vt:lpstr>Розшифровка до Формування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кап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кредити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Руху'!Заголовки_для_печати</vt:lpstr>
      <vt:lpstr>'Розшифровка до Формування'!Заголовки_для_печати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Руху'!Область_печати</vt:lpstr>
      <vt:lpstr>'Розшифровка до Формування'!Область_печати</vt:lpstr>
      <vt:lpstr>'Розшифровка кап'!Область_печати</vt:lpstr>
      <vt:lpstr>'Розшифровка статутний'!Область_печати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2023-05-16T12:12:58Z</cp:lastPrinted>
  <dcterms:created xsi:type="dcterms:W3CDTF">2003-03-13T16:00:22Z</dcterms:created>
  <dcterms:modified xsi:type="dcterms:W3CDTF">2026-01-22T12:15:06Z</dcterms:modified>
</cp:coreProperties>
</file>